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209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shaytsaban/Documents/Coleman - Options New/"/>
    </mc:Choice>
  </mc:AlternateContent>
  <xr:revisionPtr revIDLastSave="0" documentId="13_ncr:1_{D6B580F2-B828-4E4C-884E-45940BBB7DEE}" xr6:coauthVersionLast="47" xr6:coauthVersionMax="47" xr10:uidLastSave="{00000000-0000-0000-0000-000000000000}"/>
  <bookViews>
    <workbookView xWindow="0" yWindow="500" windowWidth="37060" windowHeight="29580" firstSheet="6" activeTab="18" xr2:uid="{A84FED04-156F-524F-B00A-40F7F7FC8E9A}"/>
  </bookViews>
  <sheets>
    <sheet name="COVER" sheetId="1" r:id="rId1"/>
    <sheet name="Index" sheetId="4" r:id="rId2"/>
    <sheet name="Lecture 1" sheetId="2" r:id="rId3"/>
    <sheet name="Lecture 2" sheetId="3" r:id="rId4"/>
    <sheet name="Lecture 3 New" sheetId="19" r:id="rId5"/>
    <sheet name="Lecture 4" sheetId="6" r:id="rId6"/>
    <sheet name="Lecture 5 New" sheetId="20" r:id="rId7"/>
    <sheet name="Lecture 6 New" sheetId="21" r:id="rId8"/>
    <sheet name="Lecture 7 New" sheetId="22" r:id="rId9"/>
    <sheet name="Lecture 8 New" sheetId="8" r:id="rId10"/>
    <sheet name="Lecture 9 New" sheetId="16" r:id="rId11"/>
    <sheet name="Lecture 10 New" sheetId="23" r:id="rId12"/>
    <sheet name="Lecture 11 New" sheetId="24" r:id="rId13"/>
    <sheet name="Lecture 12 New" sheetId="25" r:id="rId14"/>
    <sheet name="Lecture 13 - Final Mikud 2025A" sheetId="26" r:id="rId15"/>
    <sheet name="שאלות חזרה נוספות" sheetId="17" r:id="rId16"/>
    <sheet name="שאלות חזרה נוספות 2" sheetId="15" r:id="rId17"/>
    <sheet name="שאלות חזרה נוספות 3" sheetId="18" r:id="rId18"/>
    <sheet name="סטרים" sheetId="27" r:id="rId19"/>
  </sheets>
  <definedNames>
    <definedName name="_xlnm.Print_Area" localSheetId="2">'Lecture 1'!$A$1:$I$254</definedName>
    <definedName name="_xlnm.Print_Area" localSheetId="3">'Lecture 2'!$A$1:$I$148</definedName>
    <definedName name="_xlnm.Print_Area" localSheetId="5">'Lecture 4'!$A$1:$H$307</definedName>
    <definedName name="_xlnm.Print_Area" localSheetId="8">'Lecture 7 New'!$A$1:$I$241</definedName>
    <definedName name="_xlnm.Print_Area" localSheetId="9">'Lecture 8 New'!$A$1:$I$670</definedName>
    <definedName name="_xlnm.Print_Area" localSheetId="15">'שאלות חזרה נוספות'!$A$1:$H$367</definedName>
    <definedName name="_xlnm.Print_Area" localSheetId="16">'שאלות חזרה נוספות 2'!$A$1:$H$76</definedName>
    <definedName name="_xlnm.Print_Area" localSheetId="17">'שאלות חזרה נוספות 3'!$A$1:$H$331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74" i="27" l="1"/>
  <c r="E73" i="27"/>
  <c r="E72" i="27"/>
  <c r="D18" i="27"/>
  <c r="C17" i="27"/>
  <c r="D17" i="27" s="1"/>
  <c r="C16" i="27"/>
  <c r="D16" i="27" s="1"/>
  <c r="C15" i="27"/>
  <c r="D15" i="27" s="1"/>
  <c r="C14" i="27"/>
  <c r="D14" i="27" s="1"/>
  <c r="B24" i="27"/>
  <c r="D24" i="27" s="1"/>
  <c r="B23" i="27"/>
  <c r="D23" i="27" s="1"/>
  <c r="B22" i="27"/>
  <c r="D22" i="27" s="1"/>
  <c r="B21" i="27"/>
  <c r="D21" i="27" s="1"/>
  <c r="B20" i="27"/>
  <c r="D20" i="27" s="1"/>
  <c r="B19" i="27"/>
  <c r="D19" i="27" s="1"/>
  <c r="E116" i="24"/>
  <c r="E117" i="24"/>
  <c r="E118" i="24"/>
  <c r="E119" i="24"/>
  <c r="E120" i="24"/>
  <c r="E121" i="24"/>
  <c r="E122" i="24"/>
  <c r="E123" i="24"/>
  <c r="E124" i="24"/>
  <c r="E125" i="24"/>
  <c r="E126" i="24"/>
  <c r="E127" i="24"/>
  <c r="E128" i="24"/>
  <c r="E115" i="24"/>
  <c r="D127" i="24"/>
  <c r="D126" i="24"/>
  <c r="D128" i="24"/>
  <c r="C124" i="24"/>
  <c r="C125" i="24"/>
  <c r="C126" i="24"/>
  <c r="C127" i="24"/>
  <c r="C128" i="24"/>
  <c r="C123" i="24"/>
  <c r="B117" i="24"/>
  <c r="B118" i="24" s="1"/>
  <c r="B119" i="24" s="1"/>
  <c r="B120" i="24" s="1"/>
  <c r="B121" i="24" s="1"/>
  <c r="B122" i="24" s="1"/>
  <c r="B123" i="24" s="1"/>
  <c r="B124" i="24" s="1"/>
  <c r="B125" i="24" s="1"/>
  <c r="B126" i="24" s="1"/>
  <c r="B127" i="24" s="1"/>
  <c r="B128" i="24" s="1"/>
  <c r="B116" i="24"/>
  <c r="D69" i="24"/>
  <c r="C68" i="24"/>
  <c r="C67" i="24"/>
  <c r="K93" i="24"/>
  <c r="K81" i="24"/>
  <c r="B63" i="24"/>
  <c r="B64" i="24" s="1"/>
  <c r="B65" i="24" s="1"/>
  <c r="B66" i="24" s="1"/>
  <c r="B67" i="24" s="1"/>
  <c r="B68" i="24" s="1"/>
  <c r="B69" i="24" s="1"/>
  <c r="D61" i="24"/>
  <c r="D62" i="24" s="1"/>
  <c r="E62" i="24" s="1"/>
  <c r="D77" i="23"/>
  <c r="D78" i="23"/>
  <c r="D79" i="23"/>
  <c r="D80" i="23"/>
  <c r="D81" i="23"/>
  <c r="D82" i="23"/>
  <c r="D83" i="23"/>
  <c r="D84" i="23"/>
  <c r="D85" i="23"/>
  <c r="D86" i="23"/>
  <c r="D87" i="23"/>
  <c r="D76" i="23"/>
  <c r="C82" i="23"/>
  <c r="C83" i="23"/>
  <c r="C84" i="23" s="1"/>
  <c r="C85" i="23" s="1"/>
  <c r="C86" i="23" s="1"/>
  <c r="C87" i="23" s="1"/>
  <c r="C81" i="23"/>
  <c r="C77" i="23"/>
  <c r="C78" i="23"/>
  <c r="C79" i="23"/>
  <c r="C76" i="23"/>
  <c r="B77" i="23"/>
  <c r="B78" i="23"/>
  <c r="B79" i="23"/>
  <c r="B80" i="23"/>
  <c r="B81" i="23"/>
  <c r="B82" i="23"/>
  <c r="B83" i="23"/>
  <c r="B76" i="23"/>
  <c r="B38" i="23"/>
  <c r="C38" i="23"/>
  <c r="B39" i="23"/>
  <c r="E219" i="23"/>
  <c r="D219" i="23"/>
  <c r="E218" i="23"/>
  <c r="D218" i="23"/>
  <c r="E217" i="23"/>
  <c r="D217" i="23"/>
  <c r="E216" i="23"/>
  <c r="D216" i="23"/>
  <c r="F216" i="23" s="1"/>
  <c r="E215" i="23"/>
  <c r="D215" i="23"/>
  <c r="E214" i="23"/>
  <c r="D214" i="23"/>
  <c r="E213" i="23"/>
  <c r="A210" i="23"/>
  <c r="C209" i="23"/>
  <c r="E209" i="23" s="1"/>
  <c r="B209" i="23"/>
  <c r="D209" i="23" s="1"/>
  <c r="E173" i="23"/>
  <c r="D173" i="23"/>
  <c r="E172" i="23"/>
  <c r="D172" i="23"/>
  <c r="E171" i="23"/>
  <c r="D171" i="23"/>
  <c r="E170" i="23"/>
  <c r="E169" i="23"/>
  <c r="E168" i="23"/>
  <c r="E167" i="23"/>
  <c r="A164" i="23"/>
  <c r="C164" i="23" s="1"/>
  <c r="E164" i="23" s="1"/>
  <c r="C163" i="23"/>
  <c r="E163" i="23" s="1"/>
  <c r="B163" i="23"/>
  <c r="D163" i="23" s="1"/>
  <c r="C129" i="23"/>
  <c r="B129" i="23"/>
  <c r="C128" i="23"/>
  <c r="B128" i="23"/>
  <c r="C127" i="23"/>
  <c r="B127" i="23"/>
  <c r="C126" i="23"/>
  <c r="B126" i="23"/>
  <c r="C125" i="23"/>
  <c r="C124" i="23"/>
  <c r="C123" i="23"/>
  <c r="C122" i="23"/>
  <c r="C121" i="23"/>
  <c r="A119" i="23"/>
  <c r="A120" i="23" s="1"/>
  <c r="C118" i="23"/>
  <c r="B118" i="23"/>
  <c r="L47" i="23"/>
  <c r="A39" i="23"/>
  <c r="A40" i="23" s="1"/>
  <c r="A41" i="23" s="1"/>
  <c r="B41" i="23" s="1"/>
  <c r="D114" i="16"/>
  <c r="E114" i="16" s="1"/>
  <c r="D115" i="16"/>
  <c r="E115" i="16" s="1"/>
  <c r="D116" i="16"/>
  <c r="E116" i="16" s="1"/>
  <c r="D117" i="16"/>
  <c r="E117" i="16" s="1"/>
  <c r="D118" i="16"/>
  <c r="E118" i="16" s="1"/>
  <c r="D113" i="16"/>
  <c r="D108" i="16"/>
  <c r="C108" i="16"/>
  <c r="B108" i="16"/>
  <c r="D89" i="16"/>
  <c r="D90" i="16"/>
  <c r="D91" i="16"/>
  <c r="D92" i="16"/>
  <c r="D88" i="16"/>
  <c r="D87" i="16"/>
  <c r="D86" i="16"/>
  <c r="D85" i="16"/>
  <c r="E85" i="16" s="1"/>
  <c r="D84" i="16"/>
  <c r="E84" i="16" s="1"/>
  <c r="D83" i="16"/>
  <c r="E83" i="16" s="1"/>
  <c r="D82" i="16"/>
  <c r="E82" i="16" s="1"/>
  <c r="C92" i="16"/>
  <c r="C91" i="16"/>
  <c r="C90" i="16"/>
  <c r="C89" i="16"/>
  <c r="C88" i="16"/>
  <c r="B92" i="16"/>
  <c r="E92" i="16" s="1"/>
  <c r="B91" i="16"/>
  <c r="B90" i="16"/>
  <c r="B89" i="16"/>
  <c r="B88" i="16"/>
  <c r="E88" i="16" s="1"/>
  <c r="B87" i="16"/>
  <c r="E87" i="16" s="1"/>
  <c r="B86" i="16"/>
  <c r="E86" i="16" s="1"/>
  <c r="D88" i="8"/>
  <c r="D89" i="8"/>
  <c r="D90" i="8"/>
  <c r="D91" i="8"/>
  <c r="D92" i="8"/>
  <c r="D93" i="8"/>
  <c r="D94" i="8"/>
  <c r="D95" i="8"/>
  <c r="D96" i="8"/>
  <c r="D97" i="8"/>
  <c r="D98" i="8"/>
  <c r="D87" i="8"/>
  <c r="C87" i="8"/>
  <c r="B87" i="8"/>
  <c r="C88" i="8"/>
  <c r="B94" i="8"/>
  <c r="B93" i="8"/>
  <c r="B92" i="8"/>
  <c r="B91" i="8"/>
  <c r="B90" i="8"/>
  <c r="B89" i="8"/>
  <c r="B88" i="8"/>
  <c r="A89" i="8"/>
  <c r="A90" i="8" s="1"/>
  <c r="E46" i="8"/>
  <c r="E47" i="8"/>
  <c r="E48" i="8"/>
  <c r="E49" i="8"/>
  <c r="E50" i="8"/>
  <c r="E51" i="8"/>
  <c r="E52" i="8"/>
  <c r="D43" i="8"/>
  <c r="D44" i="8"/>
  <c r="D45" i="8"/>
  <c r="D46" i="8"/>
  <c r="D47" i="8"/>
  <c r="D48" i="8"/>
  <c r="D42" i="8"/>
  <c r="C42" i="8"/>
  <c r="E42" i="8" s="1"/>
  <c r="I105" i="22"/>
  <c r="D95" i="22"/>
  <c r="D96" i="22"/>
  <c r="D97" i="22"/>
  <c r="D98" i="22"/>
  <c r="D99" i="22"/>
  <c r="D100" i="22"/>
  <c r="D101" i="22"/>
  <c r="D102" i="22"/>
  <c r="D103" i="22"/>
  <c r="D104" i="22"/>
  <c r="D94" i="22"/>
  <c r="C98" i="22"/>
  <c r="C94" i="22"/>
  <c r="C95" i="22"/>
  <c r="C96" i="22"/>
  <c r="C97" i="22"/>
  <c r="B101" i="22"/>
  <c r="B102" i="22"/>
  <c r="B103" i="22"/>
  <c r="B104" i="22"/>
  <c r="B100" i="22"/>
  <c r="B94" i="22"/>
  <c r="A104" i="22"/>
  <c r="A96" i="22"/>
  <c r="A97" i="22" s="1"/>
  <c r="A98" i="22" s="1"/>
  <c r="A99" i="22" s="1"/>
  <c r="A100" i="22" s="1"/>
  <c r="A101" i="22" s="1"/>
  <c r="A102" i="22" s="1"/>
  <c r="A103" i="22" s="1"/>
  <c r="A95" i="22"/>
  <c r="D67" i="22"/>
  <c r="C64" i="22"/>
  <c r="D64" i="22" s="1"/>
  <c r="C63" i="22"/>
  <c r="D63" i="22" s="1"/>
  <c r="C62" i="22"/>
  <c r="D62" i="22" s="1"/>
  <c r="B69" i="22"/>
  <c r="D69" i="22" s="1"/>
  <c r="B68" i="22"/>
  <c r="D68" i="22" s="1"/>
  <c r="A63" i="22"/>
  <c r="A64" i="22" s="1"/>
  <c r="A65" i="22" s="1"/>
  <c r="B611" i="22"/>
  <c r="D611" i="22" s="1"/>
  <c r="B610" i="22"/>
  <c r="D610" i="22" s="1"/>
  <c r="B609" i="22"/>
  <c r="D609" i="22" s="1"/>
  <c r="B608" i="22"/>
  <c r="D608" i="22" s="1"/>
  <c r="B607" i="22"/>
  <c r="D607" i="22" s="1"/>
  <c r="B606" i="22"/>
  <c r="D606" i="22" s="1"/>
  <c r="B605" i="22"/>
  <c r="D605" i="22" s="1"/>
  <c r="B604" i="22"/>
  <c r="D604" i="22" s="1"/>
  <c r="D603" i="22"/>
  <c r="C602" i="22"/>
  <c r="D602" i="22" s="1"/>
  <c r="C601" i="22"/>
  <c r="D601" i="22" s="1"/>
  <c r="C600" i="22"/>
  <c r="D600" i="22" s="1"/>
  <c r="C599" i="22"/>
  <c r="D599" i="22" s="1"/>
  <c r="C598" i="22"/>
  <c r="D598" i="22" s="1"/>
  <c r="C597" i="22"/>
  <c r="D597" i="22" s="1"/>
  <c r="A597" i="22"/>
  <c r="A598" i="22" s="1"/>
  <c r="A599" i="22" s="1"/>
  <c r="A600" i="22" s="1"/>
  <c r="A601" i="22" s="1"/>
  <c r="A602" i="22" s="1"/>
  <c r="A603" i="22" s="1"/>
  <c r="A604" i="22" s="1"/>
  <c r="A605" i="22" s="1"/>
  <c r="A606" i="22" s="1"/>
  <c r="A607" i="22" s="1"/>
  <c r="A608" i="22" s="1"/>
  <c r="A609" i="22" s="1"/>
  <c r="A610" i="22" s="1"/>
  <c r="A611" i="22" s="1"/>
  <c r="C596" i="22"/>
  <c r="D596" i="22" s="1"/>
  <c r="C552" i="22"/>
  <c r="B552" i="22"/>
  <c r="C551" i="22"/>
  <c r="B551" i="22"/>
  <c r="C550" i="22"/>
  <c r="B550" i="22"/>
  <c r="C549" i="22"/>
  <c r="B549" i="22"/>
  <c r="C548" i="22"/>
  <c r="B548" i="22"/>
  <c r="C547" i="22"/>
  <c r="C546" i="22"/>
  <c r="C545" i="22"/>
  <c r="C544" i="22"/>
  <c r="C543" i="22"/>
  <c r="A543" i="22"/>
  <c r="A544" i="22" s="1"/>
  <c r="A545" i="22" s="1"/>
  <c r="A546" i="22" s="1"/>
  <c r="A547" i="22" s="1"/>
  <c r="A548" i="22" s="1"/>
  <c r="A549" i="22" s="1"/>
  <c r="A550" i="22" s="1"/>
  <c r="A551" i="22" s="1"/>
  <c r="A552" i="22" s="1"/>
  <c r="C542" i="22"/>
  <c r="E514" i="22"/>
  <c r="C514" i="22"/>
  <c r="B514" i="22"/>
  <c r="E513" i="22"/>
  <c r="C513" i="22"/>
  <c r="B513" i="22"/>
  <c r="E512" i="22"/>
  <c r="C512" i="22"/>
  <c r="B512" i="22"/>
  <c r="E511" i="22"/>
  <c r="C511" i="22"/>
  <c r="B511" i="22"/>
  <c r="E510" i="22"/>
  <c r="C510" i="22"/>
  <c r="B510" i="22"/>
  <c r="E509" i="22"/>
  <c r="D509" i="22"/>
  <c r="C509" i="22"/>
  <c r="B509" i="22"/>
  <c r="E508" i="22"/>
  <c r="D508" i="22"/>
  <c r="C508" i="22"/>
  <c r="E507" i="22"/>
  <c r="D507" i="22"/>
  <c r="C507" i="22"/>
  <c r="E506" i="22"/>
  <c r="D506" i="22"/>
  <c r="C506" i="22"/>
  <c r="E505" i="22"/>
  <c r="D505" i="22"/>
  <c r="C505" i="22"/>
  <c r="A505" i="22"/>
  <c r="A506" i="22" s="1"/>
  <c r="A507" i="22" s="1"/>
  <c r="A508" i="22" s="1"/>
  <c r="A509" i="22" s="1"/>
  <c r="A510" i="22" s="1"/>
  <c r="A511" i="22" s="1"/>
  <c r="A512" i="22" s="1"/>
  <c r="A513" i="22" s="1"/>
  <c r="A514" i="22" s="1"/>
  <c r="E504" i="22"/>
  <c r="D504" i="22"/>
  <c r="C504" i="22"/>
  <c r="B279" i="22"/>
  <c r="D279" i="22" s="1"/>
  <c r="B278" i="22"/>
  <c r="D278" i="22" s="1"/>
  <c r="B277" i="22"/>
  <c r="D277" i="22" s="1"/>
  <c r="B276" i="22"/>
  <c r="D276" i="22" s="1"/>
  <c r="B275" i="22"/>
  <c r="D275" i="22" s="1"/>
  <c r="B274" i="22"/>
  <c r="D274" i="22" s="1"/>
  <c r="D273" i="22"/>
  <c r="C272" i="22"/>
  <c r="D272" i="22" s="1"/>
  <c r="C271" i="22"/>
  <c r="D271" i="22" s="1"/>
  <c r="C270" i="22"/>
  <c r="D270" i="22" s="1"/>
  <c r="A270" i="22"/>
  <c r="A271" i="22" s="1"/>
  <c r="A272" i="22" s="1"/>
  <c r="A273" i="22" s="1"/>
  <c r="A274" i="22" s="1"/>
  <c r="A275" i="22" s="1"/>
  <c r="A276" i="22" s="1"/>
  <c r="A277" i="22" s="1"/>
  <c r="A278" i="22" s="1"/>
  <c r="A279" i="22" s="1"/>
  <c r="C269" i="22"/>
  <c r="D269" i="22" s="1"/>
  <c r="E214" i="22"/>
  <c r="D214" i="22"/>
  <c r="F214" i="22" s="1"/>
  <c r="E213" i="22"/>
  <c r="D213" i="22"/>
  <c r="E212" i="22"/>
  <c r="D212" i="22"/>
  <c r="F212" i="22" s="1"/>
  <c r="E211" i="22"/>
  <c r="D211" i="22"/>
  <c r="E210" i="22"/>
  <c r="D210" i="22"/>
  <c r="F210" i="22" s="1"/>
  <c r="E209" i="22"/>
  <c r="D209" i="22"/>
  <c r="E208" i="22"/>
  <c r="D208" i="22"/>
  <c r="F208" i="22" s="1"/>
  <c r="E207" i="22"/>
  <c r="D207" i="22"/>
  <c r="D206" i="22"/>
  <c r="C206" i="22"/>
  <c r="E206" i="22" s="1"/>
  <c r="D205" i="22"/>
  <c r="C205" i="22"/>
  <c r="E205" i="22" s="1"/>
  <c r="A205" i="22"/>
  <c r="A206" i="22" s="1"/>
  <c r="A207" i="22" s="1"/>
  <c r="A208" i="22" s="1"/>
  <c r="A209" i="22" s="1"/>
  <c r="A210" i="22" s="1"/>
  <c r="A211" i="22" s="1"/>
  <c r="A212" i="22" s="1"/>
  <c r="A213" i="22" s="1"/>
  <c r="A214" i="22" s="1"/>
  <c r="D204" i="22"/>
  <c r="C204" i="22"/>
  <c r="E204" i="22" s="1"/>
  <c r="E150" i="22"/>
  <c r="B150" i="22"/>
  <c r="D150" i="22" s="1"/>
  <c r="F150" i="22" s="1"/>
  <c r="E149" i="22"/>
  <c r="B149" i="22"/>
  <c r="D149" i="22" s="1"/>
  <c r="E148" i="22"/>
  <c r="B148" i="22"/>
  <c r="D148" i="22" s="1"/>
  <c r="E147" i="22"/>
  <c r="B147" i="22"/>
  <c r="D147" i="22" s="1"/>
  <c r="E146" i="22"/>
  <c r="B146" i="22"/>
  <c r="D146" i="22" s="1"/>
  <c r="F146" i="22" s="1"/>
  <c r="E145" i="22"/>
  <c r="D145" i="22"/>
  <c r="D144" i="22"/>
  <c r="C144" i="22"/>
  <c r="E144" i="22" s="1"/>
  <c r="D143" i="22"/>
  <c r="C143" i="22"/>
  <c r="E143" i="22" s="1"/>
  <c r="F142" i="22"/>
  <c r="E142" i="22"/>
  <c r="D142" i="22"/>
  <c r="C142" i="22"/>
  <c r="F141" i="22"/>
  <c r="E141" i="22"/>
  <c r="D141" i="22"/>
  <c r="C141" i="22"/>
  <c r="A141" i="22"/>
  <c r="A142" i="22" s="1"/>
  <c r="A143" i="22" s="1"/>
  <c r="A144" i="22" s="1"/>
  <c r="A145" i="22" s="1"/>
  <c r="A146" i="22" s="1"/>
  <c r="A147" i="22" s="1"/>
  <c r="A148" i="22" s="1"/>
  <c r="A149" i="22" s="1"/>
  <c r="A150" i="22" s="1"/>
  <c r="F140" i="22"/>
  <c r="E140" i="22"/>
  <c r="D140" i="22"/>
  <c r="C140" i="22"/>
  <c r="C315" i="20"/>
  <c r="B284" i="20"/>
  <c r="C284" i="20" s="1"/>
  <c r="C283" i="20"/>
  <c r="C282" i="20"/>
  <c r="B265" i="20"/>
  <c r="B266" i="20" s="1"/>
  <c r="B267" i="20" s="1"/>
  <c r="B268" i="20" s="1"/>
  <c r="B269" i="20" s="1"/>
  <c r="B270" i="20" s="1"/>
  <c r="B263" i="20"/>
  <c r="B262" i="20"/>
  <c r="B261" i="20"/>
  <c r="A261" i="20"/>
  <c r="A262" i="20" s="1"/>
  <c r="A263" i="20" s="1"/>
  <c r="A264" i="20" s="1"/>
  <c r="A265" i="20" s="1"/>
  <c r="A266" i="20" s="1"/>
  <c r="A267" i="20" s="1"/>
  <c r="A268" i="20" s="1"/>
  <c r="A269" i="20" s="1"/>
  <c r="A270" i="20" s="1"/>
  <c r="B260" i="20"/>
  <c r="B242" i="20"/>
  <c r="C242" i="20" s="1"/>
  <c r="B241" i="20"/>
  <c r="C241" i="20" s="1"/>
  <c r="B240" i="20"/>
  <c r="D240" i="20" s="1"/>
  <c r="E240" i="20" s="1"/>
  <c r="B239" i="20"/>
  <c r="C239" i="20" s="1"/>
  <c r="B238" i="20"/>
  <c r="D238" i="20" s="1"/>
  <c r="E238" i="20" s="1"/>
  <c r="B237" i="20"/>
  <c r="D237" i="20" s="1"/>
  <c r="E237" i="20" s="1"/>
  <c r="A237" i="20"/>
  <c r="A238" i="20" s="1"/>
  <c r="A239" i="20" s="1"/>
  <c r="A240" i="20" s="1"/>
  <c r="A241" i="20" s="1"/>
  <c r="A242" i="20" s="1"/>
  <c r="A243" i="20" s="1"/>
  <c r="B236" i="20"/>
  <c r="C236" i="20" s="1"/>
  <c r="C223" i="20"/>
  <c r="C225" i="20" s="1"/>
  <c r="C227" i="20" s="1"/>
  <c r="F140" i="20"/>
  <c r="G138" i="20"/>
  <c r="D104" i="6"/>
  <c r="C109" i="6"/>
  <c r="D109" i="6" s="1"/>
  <c r="C108" i="6"/>
  <c r="D108" i="6" s="1"/>
  <c r="C107" i="6"/>
  <c r="D107" i="6" s="1"/>
  <c r="C106" i="6"/>
  <c r="D106" i="6" s="1"/>
  <c r="C105" i="6"/>
  <c r="D105" i="6" s="1"/>
  <c r="C100" i="6"/>
  <c r="C99" i="6"/>
  <c r="B103" i="6"/>
  <c r="D103" i="6" s="1"/>
  <c r="B102" i="6"/>
  <c r="D102" i="6" s="1"/>
  <c r="B101" i="6"/>
  <c r="D101" i="6" s="1"/>
  <c r="B100" i="6"/>
  <c r="B99" i="6"/>
  <c r="D99" i="6" s="1"/>
  <c r="F41" i="6"/>
  <c r="F40" i="6"/>
  <c r="F39" i="6"/>
  <c r="F38" i="6"/>
  <c r="F37" i="6"/>
  <c r="F36" i="6"/>
  <c r="F34" i="6"/>
  <c r="F35" i="6"/>
  <c r="F33" i="6"/>
  <c r="F32" i="6"/>
  <c r="F31" i="6"/>
  <c r="D41" i="6"/>
  <c r="D40" i="6"/>
  <c r="D39" i="6"/>
  <c r="D38" i="6"/>
  <c r="D37" i="6"/>
  <c r="D36" i="6"/>
  <c r="D35" i="6"/>
  <c r="D34" i="6"/>
  <c r="D33" i="6"/>
  <c r="D32" i="6"/>
  <c r="D31" i="6"/>
  <c r="E35" i="6"/>
  <c r="E34" i="6"/>
  <c r="E33" i="6"/>
  <c r="E32" i="6"/>
  <c r="E31" i="6"/>
  <c r="C41" i="6"/>
  <c r="C40" i="6"/>
  <c r="C39" i="6"/>
  <c r="C38" i="6"/>
  <c r="C37" i="6"/>
  <c r="C36" i="6"/>
  <c r="C35" i="6"/>
  <c r="C34" i="6"/>
  <c r="C33" i="6"/>
  <c r="C32" i="6"/>
  <c r="C31" i="6"/>
  <c r="C406" i="6"/>
  <c r="B375" i="6"/>
  <c r="C375" i="6" s="1"/>
  <c r="C374" i="6"/>
  <c r="C373" i="6"/>
  <c r="B356" i="6"/>
  <c r="B357" i="6" s="1"/>
  <c r="B358" i="6" s="1"/>
  <c r="B359" i="6" s="1"/>
  <c r="B360" i="6" s="1"/>
  <c r="B361" i="6" s="1"/>
  <c r="B354" i="6"/>
  <c r="B353" i="6"/>
  <c r="B352" i="6"/>
  <c r="A352" i="6"/>
  <c r="A353" i="6" s="1"/>
  <c r="A354" i="6" s="1"/>
  <c r="A355" i="6" s="1"/>
  <c r="A356" i="6" s="1"/>
  <c r="A357" i="6" s="1"/>
  <c r="A358" i="6" s="1"/>
  <c r="A359" i="6" s="1"/>
  <c r="A360" i="6" s="1"/>
  <c r="A361" i="6" s="1"/>
  <c r="B351" i="6"/>
  <c r="B333" i="6"/>
  <c r="D333" i="6" s="1"/>
  <c r="E333" i="6" s="1"/>
  <c r="B332" i="6"/>
  <c r="C332" i="6" s="1"/>
  <c r="B331" i="6"/>
  <c r="C331" i="6" s="1"/>
  <c r="B330" i="6"/>
  <c r="C330" i="6" s="1"/>
  <c r="B329" i="6"/>
  <c r="D329" i="6" s="1"/>
  <c r="E329" i="6" s="1"/>
  <c r="B328" i="6"/>
  <c r="D328" i="6" s="1"/>
  <c r="E328" i="6" s="1"/>
  <c r="A328" i="6"/>
  <c r="A329" i="6" s="1"/>
  <c r="A330" i="6" s="1"/>
  <c r="A331" i="6" s="1"/>
  <c r="A332" i="6" s="1"/>
  <c r="A333" i="6" s="1"/>
  <c r="A334" i="6" s="1"/>
  <c r="B327" i="6"/>
  <c r="D327" i="6" s="1"/>
  <c r="E327" i="6" s="1"/>
  <c r="C314" i="6"/>
  <c r="C316" i="6" s="1"/>
  <c r="C318" i="6" s="1"/>
  <c r="B153" i="6"/>
  <c r="B152" i="6"/>
  <c r="B151" i="6"/>
  <c r="B150" i="6"/>
  <c r="F149" i="6"/>
  <c r="F150" i="6" s="1"/>
  <c r="F151" i="6" s="1"/>
  <c r="F152" i="6" s="1"/>
  <c r="F153" i="6" s="1"/>
  <c r="F154" i="6" s="1"/>
  <c r="F155" i="6" s="1"/>
  <c r="F156" i="6" s="1"/>
  <c r="F157" i="6" s="1"/>
  <c r="F158" i="6" s="1"/>
  <c r="A149" i="6"/>
  <c r="A150" i="6" s="1"/>
  <c r="A151" i="6" s="1"/>
  <c r="A152" i="6" s="1"/>
  <c r="A153" i="6" s="1"/>
  <c r="A154" i="6" s="1"/>
  <c r="A155" i="6" s="1"/>
  <c r="A156" i="6" s="1"/>
  <c r="A157" i="6" s="1"/>
  <c r="A158" i="6" s="1"/>
  <c r="B148" i="6"/>
  <c r="D219" i="19"/>
  <c r="B219" i="19"/>
  <c r="A220" i="19"/>
  <c r="A221" i="19" s="1"/>
  <c r="B132" i="19"/>
  <c r="C132" i="19" s="1"/>
  <c r="D132" i="19" s="1"/>
  <c r="C137" i="19"/>
  <c r="D137" i="19" s="1"/>
  <c r="C138" i="19"/>
  <c r="D138" i="19" s="1"/>
  <c r="C139" i="19"/>
  <c r="D139" i="19" s="1"/>
  <c r="C140" i="19"/>
  <c r="D140" i="19" s="1"/>
  <c r="C141" i="19"/>
  <c r="D141" i="19" s="1"/>
  <c r="C142" i="19"/>
  <c r="D142" i="19" s="1"/>
  <c r="A133" i="19"/>
  <c r="A134" i="19" s="1"/>
  <c r="C108" i="19"/>
  <c r="C109" i="19"/>
  <c r="C110" i="19"/>
  <c r="C111" i="19"/>
  <c r="C112" i="19"/>
  <c r="C113" i="19"/>
  <c r="C114" i="19"/>
  <c r="C115" i="19"/>
  <c r="C116" i="19"/>
  <c r="B100" i="19"/>
  <c r="C100" i="19" s="1"/>
  <c r="I24" i="19"/>
  <c r="J24" i="19" s="1"/>
  <c r="G25" i="19"/>
  <c r="G26" i="19" s="1"/>
  <c r="G27" i="19" s="1"/>
  <c r="G28" i="19" s="1"/>
  <c r="G29" i="19" s="1"/>
  <c r="G30" i="19" s="1"/>
  <c r="G31" i="19" s="1"/>
  <c r="G32" i="19" s="1"/>
  <c r="G33" i="19" s="1"/>
  <c r="G34" i="19" s="1"/>
  <c r="I34" i="19" s="1"/>
  <c r="J34" i="19" s="1"/>
  <c r="C25" i="19"/>
  <c r="E25" i="19" s="1"/>
  <c r="C26" i="19"/>
  <c r="E26" i="19" s="1"/>
  <c r="C27" i="19"/>
  <c r="E27" i="19" s="1"/>
  <c r="C28" i="19"/>
  <c r="E28" i="19" s="1"/>
  <c r="C29" i="19"/>
  <c r="E29" i="19" s="1"/>
  <c r="C24" i="19"/>
  <c r="E24" i="19" s="1"/>
  <c r="A25" i="19"/>
  <c r="A26" i="19" s="1"/>
  <c r="A27" i="19" s="1"/>
  <c r="A28" i="19" s="1"/>
  <c r="A29" i="19" s="1"/>
  <c r="A30" i="19" s="1"/>
  <c r="A193" i="19"/>
  <c r="A194" i="19" s="1"/>
  <c r="B192" i="19"/>
  <c r="C192" i="19" s="1"/>
  <c r="A174" i="19"/>
  <c r="A175" i="19" s="1"/>
  <c r="B173" i="19"/>
  <c r="C173" i="19" s="1"/>
  <c r="A101" i="19"/>
  <c r="B101" i="19" s="1"/>
  <c r="C101" i="19" s="1"/>
  <c r="D515" i="19"/>
  <c r="C515" i="19"/>
  <c r="E515" i="19" s="1"/>
  <c r="D514" i="19"/>
  <c r="C514" i="19"/>
  <c r="E514" i="19" s="1"/>
  <c r="D513" i="19"/>
  <c r="C513" i="19"/>
  <c r="E513" i="19" s="1"/>
  <c r="A513" i="19"/>
  <c r="A514" i="19" s="1"/>
  <c r="A515" i="19" s="1"/>
  <c r="A516" i="19" s="1"/>
  <c r="D512" i="19"/>
  <c r="C512" i="19"/>
  <c r="E512" i="19" s="1"/>
  <c r="C483" i="19"/>
  <c r="C482" i="19"/>
  <c r="C481" i="19"/>
  <c r="C480" i="19"/>
  <c r="C479" i="19"/>
  <c r="C478" i="19"/>
  <c r="C477" i="19"/>
  <c r="C476" i="19"/>
  <c r="A476" i="19"/>
  <c r="A477" i="19" s="1"/>
  <c r="A478" i="19" s="1"/>
  <c r="A479" i="19" s="1"/>
  <c r="A480" i="19" s="1"/>
  <c r="A481" i="19" s="1"/>
  <c r="A482" i="19" s="1"/>
  <c r="A483" i="19" s="1"/>
  <c r="C475" i="19"/>
  <c r="C352" i="19"/>
  <c r="C351" i="19"/>
  <c r="C350" i="19"/>
  <c r="C349" i="19"/>
  <c r="A349" i="19"/>
  <c r="A350" i="19" s="1"/>
  <c r="A351" i="19" s="1"/>
  <c r="A352" i="19" s="1"/>
  <c r="A353" i="19" s="1"/>
  <c r="C348" i="19"/>
  <c r="G129" i="3"/>
  <c r="G128" i="3"/>
  <c r="G126" i="3"/>
  <c r="G125" i="3"/>
  <c r="G124" i="3"/>
  <c r="G123" i="3"/>
  <c r="G122" i="3"/>
  <c r="F129" i="3"/>
  <c r="C123" i="3"/>
  <c r="C124" i="3"/>
  <c r="C125" i="3"/>
  <c r="C126" i="3"/>
  <c r="C122" i="3"/>
  <c r="B132" i="3"/>
  <c r="C132" i="3" s="1"/>
  <c r="B131" i="3"/>
  <c r="C131" i="3" s="1"/>
  <c r="B130" i="3"/>
  <c r="F130" i="3" s="1"/>
  <c r="G130" i="3" s="1"/>
  <c r="B129" i="3"/>
  <c r="C129" i="3" s="1"/>
  <c r="B128" i="3"/>
  <c r="C128" i="3" s="1"/>
  <c r="B127" i="3"/>
  <c r="C127" i="3" s="1"/>
  <c r="C77" i="3"/>
  <c r="B88" i="3"/>
  <c r="C88" i="3" s="1"/>
  <c r="C81" i="3"/>
  <c r="C80" i="3"/>
  <c r="C79" i="3"/>
  <c r="C78" i="3"/>
  <c r="B87" i="3"/>
  <c r="C87" i="3" s="1"/>
  <c r="B86" i="3"/>
  <c r="C86" i="3" s="1"/>
  <c r="B85" i="3"/>
  <c r="C85" i="3" s="1"/>
  <c r="B84" i="3"/>
  <c r="C84" i="3" s="1"/>
  <c r="B83" i="3"/>
  <c r="C83" i="3" s="1"/>
  <c r="B82" i="3"/>
  <c r="C82" i="3" s="1"/>
  <c r="D39" i="3"/>
  <c r="D38" i="3"/>
  <c r="D37" i="3"/>
  <c r="D36" i="3"/>
  <c r="D35" i="3"/>
  <c r="D34" i="3"/>
  <c r="D33" i="3"/>
  <c r="D32" i="3"/>
  <c r="D31" i="3"/>
  <c r="D30" i="3"/>
  <c r="D29" i="3"/>
  <c r="C39" i="3"/>
  <c r="C38" i="3"/>
  <c r="C37" i="3"/>
  <c r="C36" i="3"/>
  <c r="C35" i="3"/>
  <c r="A78" i="3"/>
  <c r="A79" i="3" s="1"/>
  <c r="A80" i="3" s="1"/>
  <c r="A81" i="3" s="1"/>
  <c r="A82" i="3" s="1"/>
  <c r="A83" i="3" s="1"/>
  <c r="A84" i="3" s="1"/>
  <c r="A85" i="3" s="1"/>
  <c r="A86" i="3" s="1"/>
  <c r="A87" i="3" s="1"/>
  <c r="A88" i="3" s="1"/>
  <c r="E181" i="2"/>
  <c r="E182" i="2"/>
  <c r="E183" i="2"/>
  <c r="E184" i="2"/>
  <c r="E180" i="2"/>
  <c r="D185" i="2"/>
  <c r="E185" i="2" s="1"/>
  <c r="B181" i="2"/>
  <c r="B182" i="2" s="1"/>
  <c r="B183" i="2" s="1"/>
  <c r="B184" i="2" s="1"/>
  <c r="B185" i="2" s="1"/>
  <c r="B186" i="2" s="1"/>
  <c r="A157" i="18"/>
  <c r="C157" i="18" s="1"/>
  <c r="C156" i="18"/>
  <c r="B156" i="18"/>
  <c r="A93" i="18"/>
  <c r="A47" i="18"/>
  <c r="A48" i="18" s="1"/>
  <c r="C46" i="18"/>
  <c r="B46" i="18"/>
  <c r="E61" i="24" l="1"/>
  <c r="B70" i="24"/>
  <c r="C69" i="24"/>
  <c r="E69" i="24" s="1"/>
  <c r="D63" i="24"/>
  <c r="F172" i="23"/>
  <c r="F173" i="23"/>
  <c r="F215" i="23"/>
  <c r="F219" i="23"/>
  <c r="D38" i="23"/>
  <c r="F209" i="23"/>
  <c r="D118" i="23"/>
  <c r="D128" i="23"/>
  <c r="C41" i="23"/>
  <c r="D41" i="23" s="1"/>
  <c r="F163" i="23"/>
  <c r="C40" i="23"/>
  <c r="D126" i="23"/>
  <c r="F214" i="23"/>
  <c r="F218" i="23"/>
  <c r="B40" i="23"/>
  <c r="D129" i="23"/>
  <c r="D127" i="23"/>
  <c r="F217" i="23"/>
  <c r="C39" i="23"/>
  <c r="D39" i="23" s="1"/>
  <c r="A42" i="23"/>
  <c r="C120" i="23"/>
  <c r="B120" i="23"/>
  <c r="A165" i="23"/>
  <c r="A211" i="23"/>
  <c r="C210" i="23"/>
  <c r="E210" i="23" s="1"/>
  <c r="B210" i="23"/>
  <c r="D210" i="23" s="1"/>
  <c r="B119" i="23"/>
  <c r="C119" i="23"/>
  <c r="B164" i="23"/>
  <c r="D164" i="23" s="1"/>
  <c r="F164" i="23" s="1"/>
  <c r="A121" i="23"/>
  <c r="F171" i="23"/>
  <c r="E91" i="16"/>
  <c r="E89" i="16"/>
  <c r="E108" i="16"/>
  <c r="E90" i="16"/>
  <c r="A91" i="8"/>
  <c r="C90" i="8"/>
  <c r="C89" i="8"/>
  <c r="F46" i="8"/>
  <c r="F47" i="8"/>
  <c r="F48" i="8"/>
  <c r="F42" i="8"/>
  <c r="F207" i="22"/>
  <c r="A66" i="22"/>
  <c r="C65" i="22"/>
  <c r="D65" i="22" s="1"/>
  <c r="F144" i="22"/>
  <c r="F145" i="22"/>
  <c r="F149" i="22"/>
  <c r="F209" i="22"/>
  <c r="F213" i="22"/>
  <c r="F147" i="22"/>
  <c r="F211" i="22"/>
  <c r="F204" i="22"/>
  <c r="F148" i="22"/>
  <c r="F205" i="22"/>
  <c r="F206" i="22"/>
  <c r="F143" i="22"/>
  <c r="D236" i="20"/>
  <c r="E236" i="20" s="1"/>
  <c r="C240" i="20"/>
  <c r="D242" i="20"/>
  <c r="E242" i="20" s="1"/>
  <c r="A244" i="20"/>
  <c r="B243" i="20"/>
  <c r="C238" i="20"/>
  <c r="D241" i="20"/>
  <c r="E241" i="20" s="1"/>
  <c r="C237" i="20"/>
  <c r="D239" i="20"/>
  <c r="E239" i="20" s="1"/>
  <c r="D100" i="6"/>
  <c r="B149" i="6"/>
  <c r="D330" i="6"/>
  <c r="E330" i="6" s="1"/>
  <c r="C327" i="6"/>
  <c r="A335" i="6"/>
  <c r="B334" i="6"/>
  <c r="C329" i="6"/>
  <c r="D332" i="6"/>
  <c r="E332" i="6" s="1"/>
  <c r="C328" i="6"/>
  <c r="D331" i="6"/>
  <c r="E331" i="6" s="1"/>
  <c r="C333" i="6"/>
  <c r="A222" i="19"/>
  <c r="D221" i="19"/>
  <c r="B221" i="19"/>
  <c r="B220" i="19"/>
  <c r="D220" i="19"/>
  <c r="B133" i="19"/>
  <c r="C133" i="19" s="1"/>
  <c r="D133" i="19" s="1"/>
  <c r="A135" i="19"/>
  <c r="B134" i="19"/>
  <c r="C134" i="19" s="1"/>
  <c r="D134" i="19" s="1"/>
  <c r="I33" i="19"/>
  <c r="J33" i="19" s="1"/>
  <c r="I29" i="19"/>
  <c r="J29" i="19" s="1"/>
  <c r="I25" i="19"/>
  <c r="J25" i="19" s="1"/>
  <c r="B30" i="19"/>
  <c r="C30" i="19" s="1"/>
  <c r="E30" i="19" s="1"/>
  <c r="A31" i="19"/>
  <c r="I27" i="19"/>
  <c r="J27" i="19" s="1"/>
  <c r="I28" i="19"/>
  <c r="J28" i="19" s="1"/>
  <c r="I26" i="19"/>
  <c r="J26" i="19" s="1"/>
  <c r="I32" i="19"/>
  <c r="J32" i="19" s="1"/>
  <c r="I31" i="19"/>
  <c r="J31" i="19" s="1"/>
  <c r="I30" i="19"/>
  <c r="J30" i="19" s="1"/>
  <c r="B175" i="19"/>
  <c r="C175" i="19" s="1"/>
  <c r="A176" i="19"/>
  <c r="B516" i="19"/>
  <c r="A517" i="19"/>
  <c r="A354" i="19"/>
  <c r="B353" i="19"/>
  <c r="C353" i="19" s="1"/>
  <c r="A195" i="19"/>
  <c r="B194" i="19"/>
  <c r="C194" i="19" s="1"/>
  <c r="B193" i="19"/>
  <c r="C193" i="19" s="1"/>
  <c r="B174" i="19"/>
  <c r="C174" i="19" s="1"/>
  <c r="A102" i="19"/>
  <c r="B102" i="19" s="1"/>
  <c r="C102" i="19" s="1"/>
  <c r="C130" i="3"/>
  <c r="F127" i="3"/>
  <c r="F132" i="3"/>
  <c r="G132" i="3" s="1"/>
  <c r="F131" i="3"/>
  <c r="G131" i="3" s="1"/>
  <c r="F128" i="3"/>
  <c r="B187" i="2"/>
  <c r="D186" i="2"/>
  <c r="E186" i="2" s="1"/>
  <c r="D46" i="18"/>
  <c r="D156" i="18"/>
  <c r="B157" i="18"/>
  <c r="D157" i="18" s="1"/>
  <c r="A158" i="18"/>
  <c r="C158" i="18" s="1"/>
  <c r="C48" i="18"/>
  <c r="B48" i="18"/>
  <c r="A49" i="18"/>
  <c r="B47" i="18"/>
  <c r="C47" i="18"/>
  <c r="B71" i="24" l="1"/>
  <c r="D70" i="24"/>
  <c r="C70" i="24"/>
  <c r="D64" i="24"/>
  <c r="E63" i="24"/>
  <c r="D40" i="23"/>
  <c r="F210" i="23"/>
  <c r="D120" i="23"/>
  <c r="B42" i="23"/>
  <c r="C42" i="23"/>
  <c r="D42" i="23" s="1"/>
  <c r="D119" i="23"/>
  <c r="A166" i="23"/>
  <c r="B165" i="23"/>
  <c r="D165" i="23" s="1"/>
  <c r="C165" i="23"/>
  <c r="E165" i="23" s="1"/>
  <c r="A122" i="23"/>
  <c r="B121" i="23"/>
  <c r="D121" i="23" s="1"/>
  <c r="A212" i="23"/>
  <c r="C211" i="23"/>
  <c r="E211" i="23" s="1"/>
  <c r="B211" i="23"/>
  <c r="D211" i="23" s="1"/>
  <c r="F211" i="23" s="1"/>
  <c r="A43" i="23"/>
  <c r="A92" i="8"/>
  <c r="A93" i="8" s="1"/>
  <c r="A94" i="8" s="1"/>
  <c r="A95" i="8" s="1"/>
  <c r="C91" i="8"/>
  <c r="C92" i="8" s="1"/>
  <c r="C93" i="8" s="1"/>
  <c r="C94" i="8" s="1"/>
  <c r="C95" i="8" s="1"/>
  <c r="C96" i="8" s="1"/>
  <c r="C97" i="8" s="1"/>
  <c r="C98" i="8" s="1"/>
  <c r="A67" i="22"/>
  <c r="A68" i="22" s="1"/>
  <c r="A69" i="22" s="1"/>
  <c r="A70" i="22" s="1"/>
  <c r="C66" i="22"/>
  <c r="D66" i="22" s="1"/>
  <c r="D243" i="20"/>
  <c r="E243" i="20" s="1"/>
  <c r="C243" i="20"/>
  <c r="B244" i="20"/>
  <c r="A245" i="20"/>
  <c r="C334" i="6"/>
  <c r="D334" i="6"/>
  <c r="E334" i="6" s="1"/>
  <c r="B335" i="6"/>
  <c r="A336" i="6"/>
  <c r="A223" i="19"/>
  <c r="D222" i="19"/>
  <c r="B222" i="19"/>
  <c r="A136" i="19"/>
  <c r="B135" i="19"/>
  <c r="C135" i="19" s="1"/>
  <c r="D135" i="19" s="1"/>
  <c r="A32" i="19"/>
  <c r="B31" i="19"/>
  <c r="C31" i="19" s="1"/>
  <c r="E31" i="19" s="1"/>
  <c r="A355" i="19"/>
  <c r="B354" i="19"/>
  <c r="C354" i="19" s="1"/>
  <c r="D516" i="19"/>
  <c r="C516" i="19"/>
  <c r="E516" i="19" s="1"/>
  <c r="B195" i="19"/>
  <c r="C195" i="19" s="1"/>
  <c r="A196" i="19"/>
  <c r="A177" i="19"/>
  <c r="B176" i="19"/>
  <c r="C176" i="19" s="1"/>
  <c r="B517" i="19"/>
  <c r="A518" i="19"/>
  <c r="B518" i="19" s="1"/>
  <c r="A103" i="19"/>
  <c r="B103" i="19" s="1"/>
  <c r="C103" i="19" s="1"/>
  <c r="B188" i="2"/>
  <c r="D188" i="2" s="1"/>
  <c r="E188" i="2" s="1"/>
  <c r="D187" i="2"/>
  <c r="E187" i="2" s="1"/>
  <c r="A159" i="18"/>
  <c r="C159" i="18" s="1"/>
  <c r="B158" i="18"/>
  <c r="D158" i="18" s="1"/>
  <c r="D48" i="18"/>
  <c r="A50" i="18"/>
  <c r="A51" i="18" s="1"/>
  <c r="C49" i="18"/>
  <c r="B49" i="18"/>
  <c r="D47" i="18"/>
  <c r="E70" i="24" l="1"/>
  <c r="D65" i="24"/>
  <c r="E64" i="24"/>
  <c r="B72" i="24"/>
  <c r="C71" i="24"/>
  <c r="D71" i="24"/>
  <c r="B43" i="23"/>
  <c r="C43" i="23"/>
  <c r="B122" i="23"/>
  <c r="D122" i="23" s="1"/>
  <c r="A123" i="23"/>
  <c r="A44" i="23"/>
  <c r="C212" i="23"/>
  <c r="E212" i="23" s="1"/>
  <c r="A213" i="23"/>
  <c r="B212" i="23"/>
  <c r="D212" i="23" s="1"/>
  <c r="B166" i="23"/>
  <c r="D166" i="23" s="1"/>
  <c r="A167" i="23"/>
  <c r="C166" i="23"/>
  <c r="E166" i="23" s="1"/>
  <c r="F165" i="23"/>
  <c r="A96" i="8"/>
  <c r="B95" i="8"/>
  <c r="B70" i="22"/>
  <c r="D70" i="22" s="1"/>
  <c r="A71" i="22"/>
  <c r="A246" i="20"/>
  <c r="B245" i="20"/>
  <c r="D244" i="20"/>
  <c r="E244" i="20" s="1"/>
  <c r="C244" i="20"/>
  <c r="B336" i="6"/>
  <c r="A337" i="6"/>
  <c r="D335" i="6"/>
  <c r="E335" i="6" s="1"/>
  <c r="C335" i="6"/>
  <c r="A224" i="19"/>
  <c r="D223" i="19"/>
  <c r="B223" i="19"/>
  <c r="A137" i="19"/>
  <c r="A138" i="19" s="1"/>
  <c r="A139" i="19" s="1"/>
  <c r="A140" i="19" s="1"/>
  <c r="A141" i="19" s="1"/>
  <c r="A142" i="19" s="1"/>
  <c r="B136" i="19"/>
  <c r="C136" i="19" s="1"/>
  <c r="D136" i="19" s="1"/>
  <c r="B32" i="19"/>
  <c r="C32" i="19" s="1"/>
  <c r="E32" i="19" s="1"/>
  <c r="A33" i="19"/>
  <c r="A178" i="19"/>
  <c r="B177" i="19"/>
  <c r="C177" i="19" s="1"/>
  <c r="A197" i="19"/>
  <c r="B196" i="19"/>
  <c r="C196" i="19" s="1"/>
  <c r="A104" i="19"/>
  <c r="B104" i="19" s="1"/>
  <c r="C104" i="19" s="1"/>
  <c r="D518" i="19"/>
  <c r="C518" i="19"/>
  <c r="E518" i="19" s="1"/>
  <c r="D517" i="19"/>
  <c r="C517" i="19"/>
  <c r="E517" i="19" s="1"/>
  <c r="A356" i="19"/>
  <c r="B355" i="19"/>
  <c r="C355" i="19" s="1"/>
  <c r="A160" i="18"/>
  <c r="C160" i="18" s="1"/>
  <c r="B159" i="18"/>
  <c r="D159" i="18" s="1"/>
  <c r="D49" i="18"/>
  <c r="C50" i="18"/>
  <c r="B50" i="18"/>
  <c r="E71" i="24" l="1"/>
  <c r="B73" i="24"/>
  <c r="C72" i="24"/>
  <c r="D72" i="24"/>
  <c r="E65" i="24"/>
  <c r="D66" i="24"/>
  <c r="D43" i="23"/>
  <c r="B44" i="23"/>
  <c r="C44" i="23"/>
  <c r="D44" i="23" s="1"/>
  <c r="B213" i="23"/>
  <c r="D213" i="23" s="1"/>
  <c r="F213" i="23" s="1"/>
  <c r="A214" i="23"/>
  <c r="A215" i="23" s="1"/>
  <c r="A216" i="23" s="1"/>
  <c r="A217" i="23" s="1"/>
  <c r="A218" i="23" s="1"/>
  <c r="A219" i="23" s="1"/>
  <c r="F166" i="23"/>
  <c r="B167" i="23"/>
  <c r="D167" i="23" s="1"/>
  <c r="F167" i="23" s="1"/>
  <c r="A168" i="23"/>
  <c r="A45" i="23"/>
  <c r="A124" i="23"/>
  <c r="B123" i="23"/>
  <c r="D123" i="23" s="1"/>
  <c r="F212" i="23"/>
  <c r="A97" i="8"/>
  <c r="B96" i="8"/>
  <c r="A72" i="22"/>
  <c r="B72" i="22" s="1"/>
  <c r="D72" i="22" s="1"/>
  <c r="B71" i="22"/>
  <c r="D71" i="22" s="1"/>
  <c r="D245" i="20"/>
  <c r="E245" i="20" s="1"/>
  <c r="C245" i="20"/>
  <c r="B246" i="20"/>
  <c r="A247" i="20"/>
  <c r="A338" i="6"/>
  <c r="B337" i="6"/>
  <c r="D336" i="6"/>
  <c r="E336" i="6" s="1"/>
  <c r="C336" i="6"/>
  <c r="A225" i="19"/>
  <c r="D224" i="19"/>
  <c r="B224" i="19"/>
  <c r="B33" i="19"/>
  <c r="C33" i="19" s="1"/>
  <c r="E33" i="19" s="1"/>
  <c r="A34" i="19"/>
  <c r="B34" i="19" s="1"/>
  <c r="C34" i="19" s="1"/>
  <c r="E34" i="19" s="1"/>
  <c r="A105" i="19"/>
  <c r="B105" i="19" s="1"/>
  <c r="C105" i="19" s="1"/>
  <c r="A357" i="19"/>
  <c r="B356" i="19"/>
  <c r="C356" i="19" s="1"/>
  <c r="A198" i="19"/>
  <c r="B197" i="19"/>
  <c r="C197" i="19" s="1"/>
  <c r="B178" i="19"/>
  <c r="C178" i="19" s="1"/>
  <c r="A179" i="19"/>
  <c r="D50" i="18"/>
  <c r="A161" i="18"/>
  <c r="C161" i="18" s="1"/>
  <c r="B160" i="18"/>
  <c r="D160" i="18" s="1"/>
  <c r="A52" i="18"/>
  <c r="C51" i="18"/>
  <c r="B51" i="18"/>
  <c r="D67" i="24" l="1"/>
  <c r="E66" i="24"/>
  <c r="E72" i="24"/>
  <c r="B74" i="24"/>
  <c r="D73" i="24"/>
  <c r="C73" i="24"/>
  <c r="B45" i="23"/>
  <c r="C45" i="23"/>
  <c r="D45" i="23" s="1"/>
  <c r="A169" i="23"/>
  <c r="B168" i="23"/>
  <c r="D168" i="23" s="1"/>
  <c r="F168" i="23" s="1"/>
  <c r="B124" i="23"/>
  <c r="D124" i="23" s="1"/>
  <c r="A125" i="23"/>
  <c r="A46" i="23"/>
  <c r="A98" i="8"/>
  <c r="B98" i="8" s="1"/>
  <c r="B97" i="8"/>
  <c r="B247" i="20"/>
  <c r="A248" i="20"/>
  <c r="B248" i="20" s="1"/>
  <c r="D246" i="20"/>
  <c r="E246" i="20" s="1"/>
  <c r="C246" i="20"/>
  <c r="D337" i="6"/>
  <c r="E337" i="6" s="1"/>
  <c r="C337" i="6"/>
  <c r="B338" i="6"/>
  <c r="A339" i="6"/>
  <c r="B339" i="6" s="1"/>
  <c r="A226" i="19"/>
  <c r="D225" i="19"/>
  <c r="B225" i="19"/>
  <c r="B179" i="19"/>
  <c r="C179" i="19" s="1"/>
  <c r="A180" i="19"/>
  <c r="A199" i="19"/>
  <c r="B198" i="19"/>
  <c r="C198" i="19" s="1"/>
  <c r="A358" i="19"/>
  <c r="B357" i="19"/>
  <c r="C357" i="19" s="1"/>
  <c r="A106" i="19"/>
  <c r="B106" i="19" s="1"/>
  <c r="C106" i="19" s="1"/>
  <c r="A162" i="18"/>
  <c r="C162" i="18" s="1"/>
  <c r="B161" i="18"/>
  <c r="D161" i="18" s="1"/>
  <c r="D51" i="18"/>
  <c r="C52" i="18"/>
  <c r="B52" i="18"/>
  <c r="A53" i="18"/>
  <c r="E73" i="24" l="1"/>
  <c r="C74" i="24"/>
  <c r="B75" i="24"/>
  <c r="D74" i="24"/>
  <c r="D68" i="24"/>
  <c r="E68" i="24" s="1"/>
  <c r="E67" i="24"/>
  <c r="C46" i="23"/>
  <c r="B46" i="23"/>
  <c r="A47" i="23"/>
  <c r="A126" i="23"/>
  <c r="A127" i="23" s="1"/>
  <c r="A128" i="23" s="1"/>
  <c r="A129" i="23" s="1"/>
  <c r="B125" i="23"/>
  <c r="D125" i="23" s="1"/>
  <c r="B169" i="23"/>
  <c r="D169" i="23" s="1"/>
  <c r="F169" i="23" s="1"/>
  <c r="A170" i="23"/>
  <c r="D248" i="20"/>
  <c r="E248" i="20" s="1"/>
  <c r="C248" i="20"/>
  <c r="C247" i="20"/>
  <c r="D247" i="20"/>
  <c r="E247" i="20" s="1"/>
  <c r="C339" i="6"/>
  <c r="D339" i="6"/>
  <c r="E339" i="6" s="1"/>
  <c r="C338" i="6"/>
  <c r="D338" i="6"/>
  <c r="E338" i="6" s="1"/>
  <c r="A227" i="19"/>
  <c r="D226" i="19"/>
  <c r="A107" i="19"/>
  <c r="B107" i="19" s="1"/>
  <c r="C107" i="19" s="1"/>
  <c r="A359" i="19"/>
  <c r="B359" i="19" s="1"/>
  <c r="C359" i="19" s="1"/>
  <c r="B358" i="19"/>
  <c r="C358" i="19" s="1"/>
  <c r="A200" i="19"/>
  <c r="B200" i="19" s="1"/>
  <c r="C200" i="19" s="1"/>
  <c r="B199" i="19"/>
  <c r="C199" i="19" s="1"/>
  <c r="A181" i="19"/>
  <c r="B180" i="19"/>
  <c r="C180" i="19" s="1"/>
  <c r="D52" i="18"/>
  <c r="A163" i="18"/>
  <c r="C163" i="18" s="1"/>
  <c r="B162" i="18"/>
  <c r="D162" i="18" s="1"/>
  <c r="A54" i="18"/>
  <c r="C53" i="18"/>
  <c r="B53" i="18"/>
  <c r="D75" i="24" l="1"/>
  <c r="C75" i="24"/>
  <c r="E74" i="24"/>
  <c r="C47" i="23"/>
  <c r="B47" i="23"/>
  <c r="D47" i="23" s="1"/>
  <c r="D46" i="23"/>
  <c r="B170" i="23"/>
  <c r="D170" i="23" s="1"/>
  <c r="F170" i="23" s="1"/>
  <c r="A171" i="23"/>
  <c r="A172" i="23" s="1"/>
  <c r="A173" i="23" s="1"/>
  <c r="A48" i="23"/>
  <c r="A228" i="19"/>
  <c r="D227" i="19"/>
  <c r="C227" i="19"/>
  <c r="A182" i="19"/>
  <c r="B182" i="19" s="1"/>
  <c r="C182" i="19" s="1"/>
  <c r="B181" i="19"/>
  <c r="C181" i="19" s="1"/>
  <c r="A108" i="19"/>
  <c r="A109" i="19" s="1"/>
  <c r="A110" i="19" s="1"/>
  <c r="A111" i="19" s="1"/>
  <c r="A112" i="19" s="1"/>
  <c r="A113" i="19" s="1"/>
  <c r="A114" i="19" s="1"/>
  <c r="A115" i="19" s="1"/>
  <c r="A116" i="19" s="1"/>
  <c r="D53" i="18"/>
  <c r="A164" i="18"/>
  <c r="C164" i="18" s="1"/>
  <c r="B163" i="18"/>
  <c r="D163" i="18" s="1"/>
  <c r="C54" i="18"/>
  <c r="B54" i="18"/>
  <c r="A55" i="18"/>
  <c r="D395" i="17"/>
  <c r="D396" i="17" s="1"/>
  <c r="C314" i="17"/>
  <c r="B314" i="17"/>
  <c r="A315" i="17"/>
  <c r="B315" i="17" s="1"/>
  <c r="C266" i="17"/>
  <c r="C267" i="17" s="1"/>
  <c r="C264" i="17"/>
  <c r="C230" i="17"/>
  <c r="C231" i="17" s="1"/>
  <c r="C232" i="17" s="1"/>
  <c r="C233" i="17" s="1"/>
  <c r="C234" i="17" s="1"/>
  <c r="C235" i="17" s="1"/>
  <c r="C236" i="17" s="1"/>
  <c r="C237" i="17" s="1"/>
  <c r="C238" i="17" s="1"/>
  <c r="B230" i="17"/>
  <c r="A231" i="17"/>
  <c r="A232" i="17" s="1"/>
  <c r="A233" i="17" s="1"/>
  <c r="A234" i="17" s="1"/>
  <c r="A235" i="17" s="1"/>
  <c r="A236" i="17" s="1"/>
  <c r="A237" i="17" s="1"/>
  <c r="A238" i="17" s="1"/>
  <c r="B238" i="17" s="1"/>
  <c r="D178" i="17"/>
  <c r="D176" i="17"/>
  <c r="D112" i="17"/>
  <c r="D111" i="17"/>
  <c r="E75" i="24" l="1"/>
  <c r="A49" i="23"/>
  <c r="C48" i="23"/>
  <c r="B48" i="23"/>
  <c r="D228" i="19"/>
  <c r="C228" i="19"/>
  <c r="A229" i="19"/>
  <c r="D54" i="18"/>
  <c r="A165" i="18"/>
  <c r="C165" i="18" s="1"/>
  <c r="B164" i="18"/>
  <c r="D164" i="18" s="1"/>
  <c r="A56" i="18"/>
  <c r="C55" i="18"/>
  <c r="B55" i="18"/>
  <c r="A316" i="17"/>
  <c r="D230" i="17"/>
  <c r="D314" i="17"/>
  <c r="C315" i="17"/>
  <c r="D315" i="17" s="1"/>
  <c r="C269" i="17"/>
  <c r="D238" i="17"/>
  <c r="B231" i="17"/>
  <c r="A239" i="17"/>
  <c r="E323" i="18"/>
  <c r="E324" i="18" s="1"/>
  <c r="E319" i="18"/>
  <c r="E318" i="18"/>
  <c r="J261" i="18"/>
  <c r="D247" i="18"/>
  <c r="D246" i="18"/>
  <c r="H318" i="18"/>
  <c r="H323" i="18"/>
  <c r="D48" i="23" l="1"/>
  <c r="A50" i="23"/>
  <c r="B49" i="23"/>
  <c r="C49" i="23"/>
  <c r="A230" i="19"/>
  <c r="C229" i="19"/>
  <c r="D229" i="19"/>
  <c r="D55" i="18"/>
  <c r="A166" i="18"/>
  <c r="C166" i="18" s="1"/>
  <c r="B165" i="18"/>
  <c r="D165" i="18" s="1"/>
  <c r="C56" i="18"/>
  <c r="B56" i="18"/>
  <c r="A317" i="17"/>
  <c r="B316" i="17"/>
  <c r="C316" i="17"/>
  <c r="D231" i="17"/>
  <c r="B232" i="17"/>
  <c r="A240" i="17"/>
  <c r="B239" i="17"/>
  <c r="C239" i="17"/>
  <c r="D248" i="18"/>
  <c r="E320" i="18"/>
  <c r="D49" i="23" l="1"/>
  <c r="A51" i="23"/>
  <c r="B50" i="23"/>
  <c r="C50" i="23"/>
  <c r="A231" i="19"/>
  <c r="D230" i="19"/>
  <c r="C230" i="19"/>
  <c r="D56" i="18"/>
  <c r="A167" i="18"/>
  <c r="C167" i="18" s="1"/>
  <c r="B166" i="18"/>
  <c r="D166" i="18" s="1"/>
  <c r="D316" i="17"/>
  <c r="A318" i="17"/>
  <c r="B317" i="17"/>
  <c r="C317" i="17"/>
  <c r="B233" i="17"/>
  <c r="D232" i="17"/>
  <c r="D239" i="17"/>
  <c r="A241" i="17"/>
  <c r="C240" i="17"/>
  <c r="B240" i="17"/>
  <c r="D240" i="17" s="1"/>
  <c r="C92" i="15"/>
  <c r="D50" i="23" l="1"/>
  <c r="A52" i="23"/>
  <c r="B51" i="23"/>
  <c r="C51" i="23"/>
  <c r="A232" i="19"/>
  <c r="C231" i="19"/>
  <c r="D231" i="19"/>
  <c r="B167" i="18"/>
  <c r="D167" i="18" s="1"/>
  <c r="D317" i="17"/>
  <c r="A319" i="17"/>
  <c r="B318" i="17"/>
  <c r="C318" i="17"/>
  <c r="B234" i="17"/>
  <c r="D233" i="17"/>
  <c r="A242" i="17"/>
  <c r="B241" i="17"/>
  <c r="C241" i="17"/>
  <c r="E49" i="15"/>
  <c r="E50" i="15"/>
  <c r="D45" i="15"/>
  <c r="C45" i="15"/>
  <c r="A46" i="15"/>
  <c r="A47" i="15" s="1"/>
  <c r="A48" i="15" s="1"/>
  <c r="A49" i="15" s="1"/>
  <c r="A50" i="15" s="1"/>
  <c r="A51" i="15" s="1"/>
  <c r="A52" i="15" s="1"/>
  <c r="D229" i="16"/>
  <c r="C229" i="16"/>
  <c r="B229" i="16"/>
  <c r="A230" i="16"/>
  <c r="D230" i="16" s="1"/>
  <c r="A164" i="16"/>
  <c r="B164" i="16" s="1"/>
  <c r="D163" i="16"/>
  <c r="C163" i="16"/>
  <c r="B163" i="16"/>
  <c r="D145" i="16"/>
  <c r="D146" i="16"/>
  <c r="D147" i="16"/>
  <c r="D148" i="16"/>
  <c r="D149" i="16"/>
  <c r="D150" i="16"/>
  <c r="D151" i="16"/>
  <c r="D152" i="16"/>
  <c r="D153" i="16"/>
  <c r="D154" i="16"/>
  <c r="D144" i="16"/>
  <c r="C145" i="16"/>
  <c r="C146" i="16"/>
  <c r="C147" i="16"/>
  <c r="C148" i="16"/>
  <c r="C149" i="16"/>
  <c r="C150" i="16"/>
  <c r="C151" i="16"/>
  <c r="C152" i="16"/>
  <c r="C153" i="16"/>
  <c r="C154" i="16"/>
  <c r="C144" i="16"/>
  <c r="B145" i="16"/>
  <c r="B146" i="16"/>
  <c r="B147" i="16"/>
  <c r="B148" i="16"/>
  <c r="B149" i="16"/>
  <c r="B150" i="16"/>
  <c r="B151" i="16"/>
  <c r="B152" i="16"/>
  <c r="B153" i="16"/>
  <c r="B154" i="16"/>
  <c r="B144" i="16"/>
  <c r="A109" i="16"/>
  <c r="D51" i="23" l="1"/>
  <c r="B52" i="23"/>
  <c r="C52" i="23"/>
  <c r="A110" i="16"/>
  <c r="D109" i="16"/>
  <c r="B109" i="16"/>
  <c r="C109" i="16"/>
  <c r="C230" i="16"/>
  <c r="A231" i="16"/>
  <c r="A232" i="16" s="1"/>
  <c r="B232" i="16" s="1"/>
  <c r="E163" i="16"/>
  <c r="B230" i="16"/>
  <c r="E230" i="16" s="1"/>
  <c r="A233" i="19"/>
  <c r="D232" i="19"/>
  <c r="C232" i="19"/>
  <c r="D318" i="17"/>
  <c r="A320" i="17"/>
  <c r="A321" i="17" s="1"/>
  <c r="C319" i="17"/>
  <c r="B319" i="17"/>
  <c r="D319" i="17" s="1"/>
  <c r="B235" i="17"/>
  <c r="D234" i="17"/>
  <c r="D241" i="17"/>
  <c r="A243" i="17"/>
  <c r="B242" i="17"/>
  <c r="C242" i="17"/>
  <c r="E45" i="15"/>
  <c r="C47" i="15"/>
  <c r="C46" i="15"/>
  <c r="D46" i="15"/>
  <c r="D47" i="15"/>
  <c r="C48" i="15"/>
  <c r="E48" i="15" s="1"/>
  <c r="B51" i="15"/>
  <c r="E51" i="15" s="1"/>
  <c r="E229" i="16"/>
  <c r="C164" i="16"/>
  <c r="D164" i="16"/>
  <c r="E154" i="16"/>
  <c r="E153" i="16"/>
  <c r="E145" i="16"/>
  <c r="A165" i="16"/>
  <c r="E146" i="16"/>
  <c r="E152" i="16"/>
  <c r="E148" i="16"/>
  <c r="E151" i="16"/>
  <c r="E149" i="16"/>
  <c r="E150" i="16"/>
  <c r="E144" i="16"/>
  <c r="E147" i="16"/>
  <c r="D52" i="23" l="1"/>
  <c r="B231" i="16"/>
  <c r="D231" i="16"/>
  <c r="C231" i="16"/>
  <c r="E109" i="16"/>
  <c r="A111" i="16"/>
  <c r="D110" i="16"/>
  <c r="B110" i="16"/>
  <c r="C110" i="16"/>
  <c r="A233" i="16"/>
  <c r="D232" i="16"/>
  <c r="E164" i="16"/>
  <c r="C232" i="16"/>
  <c r="E232" i="16" s="1"/>
  <c r="A234" i="19"/>
  <c r="D233" i="19"/>
  <c r="C233" i="19"/>
  <c r="E231" i="16"/>
  <c r="C320" i="17"/>
  <c r="B320" i="17"/>
  <c r="D242" i="17"/>
  <c r="B236" i="17"/>
  <c r="D235" i="17"/>
  <c r="A244" i="17"/>
  <c r="B243" i="17"/>
  <c r="C243" i="17"/>
  <c r="E47" i="15"/>
  <c r="A53" i="15"/>
  <c r="B52" i="15"/>
  <c r="E52" i="15" s="1"/>
  <c r="E46" i="15"/>
  <c r="A166" i="16"/>
  <c r="D165" i="16"/>
  <c r="C165" i="16"/>
  <c r="B165" i="16"/>
  <c r="E165" i="16" s="1"/>
  <c r="A165" i="8"/>
  <c r="B165" i="8" s="1"/>
  <c r="D165" i="8" s="1"/>
  <c r="C164" i="8"/>
  <c r="E164" i="8" s="1"/>
  <c r="B164" i="8"/>
  <c r="D164" i="8" s="1"/>
  <c r="A43" i="8"/>
  <c r="C43" i="8" s="1"/>
  <c r="E43" i="8" s="1"/>
  <c r="F43" i="8" s="1"/>
  <c r="E370" i="8"/>
  <c r="D370" i="8"/>
  <c r="C370" i="8"/>
  <c r="B370" i="8"/>
  <c r="E369" i="8"/>
  <c r="D369" i="8"/>
  <c r="C369" i="8"/>
  <c r="B369" i="8"/>
  <c r="E368" i="8"/>
  <c r="D368" i="8"/>
  <c r="C368" i="8"/>
  <c r="B368" i="8"/>
  <c r="E367" i="8"/>
  <c r="D367" i="8"/>
  <c r="C367" i="8"/>
  <c r="B367" i="8"/>
  <c r="E366" i="8"/>
  <c r="C366" i="8"/>
  <c r="B366" i="8"/>
  <c r="E365" i="8"/>
  <c r="C365" i="8"/>
  <c r="B365" i="8"/>
  <c r="E364" i="8"/>
  <c r="C364" i="8"/>
  <c r="E363" i="8"/>
  <c r="C363" i="8"/>
  <c r="E362" i="8"/>
  <c r="C362" i="8"/>
  <c r="E361" i="8"/>
  <c r="C361" i="8"/>
  <c r="A361" i="8"/>
  <c r="A362" i="8" s="1"/>
  <c r="A363" i="8" s="1"/>
  <c r="A364" i="8" s="1"/>
  <c r="A365" i="8" s="1"/>
  <c r="A366" i="8" s="1"/>
  <c r="A367" i="8" s="1"/>
  <c r="A368" i="8" s="1"/>
  <c r="A369" i="8" s="1"/>
  <c r="A370" i="8" s="1"/>
  <c r="E360" i="8"/>
  <c r="D360" i="8"/>
  <c r="C360" i="8"/>
  <c r="C325" i="8"/>
  <c r="D324" i="8"/>
  <c r="C324" i="8"/>
  <c r="D323" i="8"/>
  <c r="C323" i="8"/>
  <c r="C322" i="8"/>
  <c r="C321" i="8"/>
  <c r="C320" i="8"/>
  <c r="B320" i="8"/>
  <c r="C319" i="8"/>
  <c r="B319" i="8"/>
  <c r="C318" i="8"/>
  <c r="C317" i="8"/>
  <c r="C316" i="8"/>
  <c r="A316" i="8"/>
  <c r="A317" i="8" s="1"/>
  <c r="A318" i="8" s="1"/>
  <c r="A319" i="8" s="1"/>
  <c r="A320" i="8" s="1"/>
  <c r="A321" i="8" s="1"/>
  <c r="A322" i="8" s="1"/>
  <c r="A323" i="8" s="1"/>
  <c r="A324" i="8" s="1"/>
  <c r="A325" i="8" s="1"/>
  <c r="E315" i="8"/>
  <c r="E316" i="8" s="1"/>
  <c r="C315" i="8"/>
  <c r="B279" i="6"/>
  <c r="B278" i="6"/>
  <c r="B277" i="6"/>
  <c r="B276" i="6"/>
  <c r="C279" i="6"/>
  <c r="C278" i="6"/>
  <c r="C277" i="6"/>
  <c r="C276" i="6"/>
  <c r="A277" i="6"/>
  <c r="A278" i="6" s="1"/>
  <c r="A279" i="6" s="1"/>
  <c r="A280" i="6" s="1"/>
  <c r="A281" i="6" s="1"/>
  <c r="A282" i="6" s="1"/>
  <c r="A283" i="6" s="1"/>
  <c r="A284" i="6" s="1"/>
  <c r="E110" i="16" l="1"/>
  <c r="A112" i="16"/>
  <c r="D111" i="16"/>
  <c r="B111" i="16"/>
  <c r="C111" i="16"/>
  <c r="A234" i="16"/>
  <c r="B233" i="16"/>
  <c r="D233" i="16"/>
  <c r="C233" i="16"/>
  <c r="F362" i="8"/>
  <c r="D234" i="19"/>
  <c r="C234" i="19"/>
  <c r="D320" i="17"/>
  <c r="A322" i="17"/>
  <c r="C321" i="17"/>
  <c r="B321" i="17"/>
  <c r="B237" i="17"/>
  <c r="D237" i="17" s="1"/>
  <c r="D236" i="17"/>
  <c r="D243" i="17"/>
  <c r="C244" i="17"/>
  <c r="B244" i="17"/>
  <c r="A54" i="15"/>
  <c r="A55" i="15" s="1"/>
  <c r="B53" i="15"/>
  <c r="E53" i="15" s="1"/>
  <c r="A167" i="16"/>
  <c r="C166" i="16"/>
  <c r="D166" i="16"/>
  <c r="B166" i="16"/>
  <c r="E166" i="16" s="1"/>
  <c r="F315" i="8"/>
  <c r="F164" i="8"/>
  <c r="C165" i="8"/>
  <c r="E165" i="8" s="1"/>
  <c r="F165" i="8" s="1"/>
  <c r="A166" i="8"/>
  <c r="F369" i="8"/>
  <c r="F361" i="8"/>
  <c r="F365" i="8"/>
  <c r="A44" i="8"/>
  <c r="C44" i="8" s="1"/>
  <c r="E44" i="8" s="1"/>
  <c r="F44" i="8" s="1"/>
  <c r="F363" i="8"/>
  <c r="F367" i="8"/>
  <c r="F370" i="8"/>
  <c r="F364" i="8"/>
  <c r="F360" i="8"/>
  <c r="F366" i="8"/>
  <c r="F368" i="8"/>
  <c r="E317" i="8"/>
  <c r="E318" i="8" s="1"/>
  <c r="F316" i="8"/>
  <c r="A35" i="3"/>
  <c r="A36" i="3" s="1"/>
  <c r="A37" i="3" s="1"/>
  <c r="A38" i="3" s="1"/>
  <c r="A39" i="3" s="1"/>
  <c r="A30" i="3"/>
  <c r="A31" i="3" s="1"/>
  <c r="A32" i="3" s="1"/>
  <c r="A33" i="3" s="1"/>
  <c r="E111" i="16" l="1"/>
  <c r="A113" i="16"/>
  <c r="D112" i="16"/>
  <c r="B112" i="16"/>
  <c r="E112" i="16" s="1"/>
  <c r="E233" i="16"/>
  <c r="A235" i="16"/>
  <c r="B234" i="16"/>
  <c r="D234" i="16"/>
  <c r="C234" i="16"/>
  <c r="D321" i="17"/>
  <c r="A323" i="17"/>
  <c r="C322" i="17"/>
  <c r="B322" i="17"/>
  <c r="D244" i="17"/>
  <c r="B55" i="15"/>
  <c r="E55" i="15" s="1"/>
  <c r="B54" i="15"/>
  <c r="E54" i="15" s="1"/>
  <c r="C167" i="16"/>
  <c r="B167" i="16"/>
  <c r="D167" i="16"/>
  <c r="A168" i="16"/>
  <c r="C166" i="8"/>
  <c r="E166" i="8" s="1"/>
  <c r="B166" i="8"/>
  <c r="D166" i="8" s="1"/>
  <c r="A167" i="8"/>
  <c r="A45" i="8"/>
  <c r="C45" i="8" s="1"/>
  <c r="E45" i="8" s="1"/>
  <c r="F45" i="8" s="1"/>
  <c r="E319" i="8"/>
  <c r="F318" i="8"/>
  <c r="F317" i="8"/>
  <c r="A114" i="16" l="1"/>
  <c r="A115" i="16" s="1"/>
  <c r="A116" i="16" s="1"/>
  <c r="A117" i="16" s="1"/>
  <c r="A118" i="16" s="1"/>
  <c r="B113" i="16"/>
  <c r="E113" i="16" s="1"/>
  <c r="E234" i="16"/>
  <c r="A236" i="16"/>
  <c r="C235" i="16"/>
  <c r="D235" i="16"/>
  <c r="B235" i="16"/>
  <c r="F166" i="8"/>
  <c r="D322" i="17"/>
  <c r="A324" i="17"/>
  <c r="B323" i="17"/>
  <c r="C323" i="17"/>
  <c r="B168" i="16"/>
  <c r="A169" i="16"/>
  <c r="C168" i="16"/>
  <c r="D168" i="16"/>
  <c r="E167" i="16"/>
  <c r="A168" i="8"/>
  <c r="C167" i="8"/>
  <c r="E167" i="8" s="1"/>
  <c r="B167" i="8"/>
  <c r="D167" i="8" s="1"/>
  <c r="A46" i="8"/>
  <c r="E320" i="8"/>
  <c r="F319" i="8"/>
  <c r="E599" i="8"/>
  <c r="E600" i="8"/>
  <c r="E601" i="8"/>
  <c r="E602" i="8"/>
  <c r="E603" i="8"/>
  <c r="E604" i="8"/>
  <c r="E605" i="8"/>
  <c r="D599" i="8"/>
  <c r="D600" i="8"/>
  <c r="D598" i="8"/>
  <c r="E598" i="8"/>
  <c r="A598" i="8"/>
  <c r="A599" i="8" s="1"/>
  <c r="A600" i="8" s="1"/>
  <c r="A601" i="8" s="1"/>
  <c r="D551" i="8"/>
  <c r="E551" i="8"/>
  <c r="E552" i="8"/>
  <c r="E553" i="8"/>
  <c r="E554" i="8"/>
  <c r="E555" i="8"/>
  <c r="E556" i="8"/>
  <c r="E557" i="8"/>
  <c r="E558" i="8"/>
  <c r="E559" i="8"/>
  <c r="D552" i="8"/>
  <c r="F552" i="8" s="1"/>
  <c r="D553" i="8"/>
  <c r="D554" i="8"/>
  <c r="A552" i="8"/>
  <c r="A553" i="8" s="1"/>
  <c r="A554" i="8" s="1"/>
  <c r="A555" i="8" s="1"/>
  <c r="E496" i="8"/>
  <c r="E497" i="8"/>
  <c r="E498" i="8"/>
  <c r="E499" i="8"/>
  <c r="E500" i="8"/>
  <c r="E501" i="8"/>
  <c r="D496" i="8"/>
  <c r="D497" i="8"/>
  <c r="D498" i="8"/>
  <c r="E495" i="8"/>
  <c r="D495" i="8"/>
  <c r="A496" i="8"/>
  <c r="A497" i="8" s="1"/>
  <c r="A498" i="8" s="1"/>
  <c r="A499" i="8" s="1"/>
  <c r="A7" i="4"/>
  <c r="A8" i="4" s="1"/>
  <c r="A9" i="4" s="1"/>
  <c r="A10" i="4" s="1"/>
  <c r="A14" i="4" s="1"/>
  <c r="A223" i="2"/>
  <c r="A224" i="2" s="1"/>
  <c r="A225" i="2" s="1"/>
  <c r="A226" i="2" s="1"/>
  <c r="A227" i="2" s="1"/>
  <c r="C243" i="2"/>
  <c r="C244" i="2"/>
  <c r="C245" i="2"/>
  <c r="C246" i="2"/>
  <c r="C242" i="2"/>
  <c r="A243" i="2"/>
  <c r="A244" i="2" s="1"/>
  <c r="A245" i="2" s="1"/>
  <c r="A246" i="2" s="1"/>
  <c r="A247" i="2" s="1"/>
  <c r="E235" i="16" l="1"/>
  <c r="A237" i="16"/>
  <c r="D236" i="16"/>
  <c r="B236" i="16"/>
  <c r="C236" i="16"/>
  <c r="F167" i="8"/>
  <c r="D323" i="17"/>
  <c r="A325" i="17"/>
  <c r="B324" i="17"/>
  <c r="C324" i="17"/>
  <c r="E168" i="16"/>
  <c r="D169" i="16"/>
  <c r="A170" i="16"/>
  <c r="C169" i="16"/>
  <c r="B169" i="16"/>
  <c r="E169" i="16" s="1"/>
  <c r="A169" i="8"/>
  <c r="B168" i="8"/>
  <c r="D168" i="8" s="1"/>
  <c r="C168" i="8"/>
  <c r="E168" i="8" s="1"/>
  <c r="A47" i="8"/>
  <c r="F598" i="8"/>
  <c r="E321" i="8"/>
  <c r="F320" i="8"/>
  <c r="F600" i="8"/>
  <c r="F599" i="8"/>
  <c r="A602" i="8"/>
  <c r="B601" i="8"/>
  <c r="D601" i="8" s="1"/>
  <c r="F601" i="8" s="1"/>
  <c r="F554" i="8"/>
  <c r="F497" i="8"/>
  <c r="F553" i="8"/>
  <c r="F495" i="8"/>
  <c r="F551" i="8"/>
  <c r="A556" i="8"/>
  <c r="B555" i="8"/>
  <c r="D555" i="8" s="1"/>
  <c r="F555" i="8" s="1"/>
  <c r="F496" i="8"/>
  <c r="F498" i="8"/>
  <c r="A500" i="8"/>
  <c r="B499" i="8"/>
  <c r="D499" i="8" s="1"/>
  <c r="F499" i="8" s="1"/>
  <c r="A228" i="2"/>
  <c r="A248" i="2"/>
  <c r="B247" i="2"/>
  <c r="C247" i="2" s="1"/>
  <c r="A238" i="16" l="1"/>
  <c r="D237" i="16"/>
  <c r="B237" i="16"/>
  <c r="C237" i="16"/>
  <c r="E236" i="16"/>
  <c r="D324" i="17"/>
  <c r="B325" i="17"/>
  <c r="C325" i="17"/>
  <c r="A171" i="16"/>
  <c r="D170" i="16"/>
  <c r="B170" i="16"/>
  <c r="C170" i="16"/>
  <c r="F168" i="8"/>
  <c r="C169" i="8"/>
  <c r="E169" i="8" s="1"/>
  <c r="A170" i="8"/>
  <c r="B169" i="8"/>
  <c r="D169" i="8" s="1"/>
  <c r="F169" i="8" s="1"/>
  <c r="A48" i="8"/>
  <c r="E322" i="8"/>
  <c r="F321" i="8"/>
  <c r="A603" i="8"/>
  <c r="B602" i="8"/>
  <c r="D602" i="8" s="1"/>
  <c r="F602" i="8" s="1"/>
  <c r="A557" i="8"/>
  <c r="B556" i="8"/>
  <c r="D556" i="8" s="1"/>
  <c r="F556" i="8" s="1"/>
  <c r="A501" i="8"/>
  <c r="B500" i="8"/>
  <c r="D500" i="8" s="1"/>
  <c r="F500" i="8" s="1"/>
  <c r="A229" i="2"/>
  <c r="A249" i="2"/>
  <c r="B248" i="2"/>
  <c r="C248" i="2" s="1"/>
  <c r="E237" i="16" l="1"/>
  <c r="A239" i="16"/>
  <c r="B238" i="16"/>
  <c r="D238" i="16"/>
  <c r="C238" i="16"/>
  <c r="E238" i="16" s="1"/>
  <c r="D325" i="17"/>
  <c r="E170" i="16"/>
  <c r="A172" i="16"/>
  <c r="B171" i="16"/>
  <c r="D171" i="16"/>
  <c r="C171" i="16"/>
  <c r="A171" i="8"/>
  <c r="C170" i="8"/>
  <c r="E170" i="8" s="1"/>
  <c r="B170" i="8"/>
  <c r="D170" i="8" s="1"/>
  <c r="A49" i="8"/>
  <c r="B49" i="8" s="1"/>
  <c r="D49" i="8" s="1"/>
  <c r="F49" i="8" s="1"/>
  <c r="E323" i="8"/>
  <c r="F322" i="8"/>
  <c r="A604" i="8"/>
  <c r="B603" i="8"/>
  <c r="D603" i="8" s="1"/>
  <c r="F603" i="8" s="1"/>
  <c r="A558" i="8"/>
  <c r="B557" i="8"/>
  <c r="D557" i="8" s="1"/>
  <c r="F557" i="8" s="1"/>
  <c r="A502" i="8"/>
  <c r="B501" i="8"/>
  <c r="D501" i="8" s="1"/>
  <c r="F501" i="8" s="1"/>
  <c r="A230" i="2"/>
  <c r="A250" i="2"/>
  <c r="B249" i="2"/>
  <c r="C249" i="2" s="1"/>
  <c r="A240" i="16" l="1"/>
  <c r="C239" i="16"/>
  <c r="B239" i="16"/>
  <c r="D239" i="16"/>
  <c r="F170" i="8"/>
  <c r="E171" i="16"/>
  <c r="B172" i="16"/>
  <c r="D172" i="16"/>
  <c r="C172" i="16"/>
  <c r="A173" i="16"/>
  <c r="A172" i="8"/>
  <c r="C171" i="8"/>
  <c r="E171" i="8" s="1"/>
  <c r="B171" i="8"/>
  <c r="D171" i="8" s="1"/>
  <c r="A50" i="8"/>
  <c r="B50" i="8" s="1"/>
  <c r="D50" i="8" s="1"/>
  <c r="F50" i="8" s="1"/>
  <c r="E324" i="8"/>
  <c r="F323" i="8"/>
  <c r="A605" i="8"/>
  <c r="B604" i="8"/>
  <c r="D604" i="8" s="1"/>
  <c r="F604" i="8" s="1"/>
  <c r="A559" i="8"/>
  <c r="B558" i="8"/>
  <c r="D558" i="8" s="1"/>
  <c r="F558" i="8" s="1"/>
  <c r="A503" i="8"/>
  <c r="C502" i="8"/>
  <c r="E502" i="8" s="1"/>
  <c r="B502" i="8"/>
  <c r="D502" i="8" s="1"/>
  <c r="A231" i="2"/>
  <c r="A251" i="2"/>
  <c r="B250" i="2"/>
  <c r="C250" i="2" s="1"/>
  <c r="E239" i="16" l="1"/>
  <c r="A241" i="16"/>
  <c r="D240" i="16"/>
  <c r="B240" i="16"/>
  <c r="C240" i="16"/>
  <c r="F171" i="8"/>
  <c r="E172" i="16"/>
  <c r="C173" i="16"/>
  <c r="B173" i="16"/>
  <c r="D173" i="16"/>
  <c r="A174" i="16"/>
  <c r="C172" i="8"/>
  <c r="E172" i="8" s="1"/>
  <c r="A173" i="8"/>
  <c r="B172" i="8"/>
  <c r="D172" i="8" s="1"/>
  <c r="A51" i="8"/>
  <c r="B51" i="8" s="1"/>
  <c r="D51" i="8" s="1"/>
  <c r="F51" i="8" s="1"/>
  <c r="E325" i="8"/>
  <c r="F325" i="8" s="1"/>
  <c r="F324" i="8"/>
  <c r="A606" i="8"/>
  <c r="B605" i="8"/>
  <c r="D605" i="8" s="1"/>
  <c r="F605" i="8" s="1"/>
  <c r="A560" i="8"/>
  <c r="B559" i="8"/>
  <c r="D559" i="8" s="1"/>
  <c r="F559" i="8" s="1"/>
  <c r="F502" i="8"/>
  <c r="A504" i="8"/>
  <c r="C503" i="8"/>
  <c r="E503" i="8" s="1"/>
  <c r="B503" i="8"/>
  <c r="D503" i="8" s="1"/>
  <c r="A232" i="2"/>
  <c r="A252" i="2"/>
  <c r="B251" i="2"/>
  <c r="C251" i="2" s="1"/>
  <c r="E240" i="16" l="1"/>
  <c r="A242" i="16"/>
  <c r="C241" i="16"/>
  <c r="D241" i="16"/>
  <c r="B241" i="16"/>
  <c r="E241" i="16" s="1"/>
  <c r="F172" i="8"/>
  <c r="A175" i="16"/>
  <c r="B174" i="16"/>
  <c r="C174" i="16"/>
  <c r="D174" i="16"/>
  <c r="E173" i="16"/>
  <c r="C173" i="8"/>
  <c r="E173" i="8" s="1"/>
  <c r="B173" i="8"/>
  <c r="D173" i="8" s="1"/>
  <c r="F173" i="8" s="1"/>
  <c r="A174" i="8"/>
  <c r="A52" i="8"/>
  <c r="B52" i="8" s="1"/>
  <c r="D52" i="8" s="1"/>
  <c r="F52" i="8" s="1"/>
  <c r="A607" i="8"/>
  <c r="B606" i="8"/>
  <c r="D606" i="8" s="1"/>
  <c r="C606" i="8"/>
  <c r="E606" i="8" s="1"/>
  <c r="A561" i="8"/>
  <c r="C560" i="8"/>
  <c r="E560" i="8" s="1"/>
  <c r="B560" i="8"/>
  <c r="D560" i="8" s="1"/>
  <c r="F503" i="8"/>
  <c r="A505" i="8"/>
  <c r="B504" i="8"/>
  <c r="D504" i="8" s="1"/>
  <c r="C504" i="8"/>
  <c r="E504" i="8" s="1"/>
  <c r="A233" i="2"/>
  <c r="B252" i="2"/>
  <c r="C252" i="2" s="1"/>
  <c r="A253" i="2"/>
  <c r="B253" i="2" s="1"/>
  <c r="C253" i="2" s="1"/>
  <c r="A243" i="16" l="1"/>
  <c r="B242" i="16"/>
  <c r="D242" i="16"/>
  <c r="C242" i="16"/>
  <c r="E242" i="16" s="1"/>
  <c r="E174" i="16"/>
  <c r="A176" i="16"/>
  <c r="B175" i="16"/>
  <c r="C175" i="16"/>
  <c r="D175" i="16"/>
  <c r="B174" i="8"/>
  <c r="D174" i="8" s="1"/>
  <c r="C174" i="8"/>
  <c r="E174" i="8" s="1"/>
  <c r="F606" i="8"/>
  <c r="A608" i="8"/>
  <c r="C607" i="8"/>
  <c r="E607" i="8" s="1"/>
  <c r="B607" i="8"/>
  <c r="D607" i="8" s="1"/>
  <c r="F560" i="8"/>
  <c r="A562" i="8"/>
  <c r="B561" i="8"/>
  <c r="D561" i="8" s="1"/>
  <c r="C561" i="8"/>
  <c r="E561" i="8" s="1"/>
  <c r="F504" i="8"/>
  <c r="B505" i="8"/>
  <c r="D505" i="8" s="1"/>
  <c r="A506" i="8"/>
  <c r="C505" i="8"/>
  <c r="E505" i="8" s="1"/>
  <c r="A244" i="16" l="1"/>
  <c r="C243" i="16"/>
  <c r="B243" i="16"/>
  <c r="D243" i="16"/>
  <c r="E175" i="16"/>
  <c r="A177" i="16"/>
  <c r="B176" i="16"/>
  <c r="C176" i="16"/>
  <c r="D176" i="16"/>
  <c r="F174" i="8"/>
  <c r="F607" i="8"/>
  <c r="A609" i="8"/>
  <c r="C608" i="8"/>
  <c r="E608" i="8" s="1"/>
  <c r="B608" i="8"/>
  <c r="D608" i="8" s="1"/>
  <c r="F608" i="8" s="1"/>
  <c r="F561" i="8"/>
  <c r="A563" i="8"/>
  <c r="C562" i="8"/>
  <c r="E562" i="8" s="1"/>
  <c r="B562" i="8"/>
  <c r="D562" i="8" s="1"/>
  <c r="C506" i="8"/>
  <c r="E506" i="8" s="1"/>
  <c r="B506" i="8"/>
  <c r="D506" i="8" s="1"/>
  <c r="F505" i="8"/>
  <c r="E243" i="16" l="1"/>
  <c r="A245" i="16"/>
  <c r="C244" i="16"/>
  <c r="D244" i="16"/>
  <c r="B244" i="16"/>
  <c r="E244" i="16" s="1"/>
  <c r="E176" i="16"/>
  <c r="A178" i="16"/>
  <c r="B177" i="16"/>
  <c r="C177" i="16"/>
  <c r="D177" i="16"/>
  <c r="A610" i="8"/>
  <c r="C609" i="8"/>
  <c r="E609" i="8" s="1"/>
  <c r="B609" i="8"/>
  <c r="D609" i="8" s="1"/>
  <c r="F562" i="8"/>
  <c r="B563" i="8"/>
  <c r="D563" i="8" s="1"/>
  <c r="C563" i="8"/>
  <c r="E563" i="8" s="1"/>
  <c r="F506" i="8"/>
  <c r="A246" i="16" l="1"/>
  <c r="C245" i="16"/>
  <c r="B245" i="16"/>
  <c r="D245" i="16"/>
  <c r="E177" i="16"/>
  <c r="A179" i="16"/>
  <c r="B178" i="16"/>
  <c r="C178" i="16"/>
  <c r="D178" i="16"/>
  <c r="F609" i="8"/>
  <c r="A611" i="8"/>
  <c r="B610" i="8"/>
  <c r="D610" i="8" s="1"/>
  <c r="C610" i="8"/>
  <c r="E610" i="8" s="1"/>
  <c r="F563" i="8"/>
  <c r="E245" i="16" l="1"/>
  <c r="C246" i="16"/>
  <c r="B246" i="16"/>
  <c r="D246" i="16"/>
  <c r="A247" i="16"/>
  <c r="E178" i="16"/>
  <c r="A180" i="16"/>
  <c r="D179" i="16"/>
  <c r="B179" i="16"/>
  <c r="C179" i="16"/>
  <c r="F610" i="8"/>
  <c r="B611" i="8"/>
  <c r="D611" i="8" s="1"/>
  <c r="C611" i="8"/>
  <c r="E611" i="8" s="1"/>
  <c r="E246" i="16" l="1"/>
  <c r="A248" i="16"/>
  <c r="B247" i="16"/>
  <c r="C247" i="16"/>
  <c r="D247" i="16"/>
  <c r="E179" i="16"/>
  <c r="A181" i="16"/>
  <c r="B180" i="16"/>
  <c r="C180" i="16"/>
  <c r="D180" i="16"/>
  <c r="F611" i="8"/>
  <c r="E247" i="16" l="1"/>
  <c r="B248" i="16"/>
  <c r="C248" i="16"/>
  <c r="D248" i="16"/>
  <c r="A249" i="16"/>
  <c r="E180" i="16"/>
  <c r="A182" i="16"/>
  <c r="B181" i="16"/>
  <c r="C181" i="16"/>
  <c r="D181" i="16"/>
  <c r="C249" i="16" l="1"/>
  <c r="D249" i="16"/>
  <c r="B249" i="16"/>
  <c r="E248" i="16"/>
  <c r="E181" i="16"/>
  <c r="A183" i="16"/>
  <c r="B182" i="16"/>
  <c r="C182" i="16"/>
  <c r="D182" i="16"/>
  <c r="E249" i="16" l="1"/>
  <c r="E182" i="16"/>
  <c r="B183" i="16"/>
  <c r="C183" i="16"/>
  <c r="D183" i="16"/>
  <c r="E183" i="16" l="1"/>
</calcChain>
</file>

<file path=xl/sharedStrings.xml><?xml version="1.0" encoding="utf-8"?>
<sst xmlns="http://schemas.openxmlformats.org/spreadsheetml/2006/main" count="3570" uniqueCount="2630">
  <si>
    <t>אופציות ומכשירים פיננסיים מתוחכמים</t>
  </si>
  <si>
    <t>מחברת הקורס</t>
  </si>
  <si>
    <t>מנהלות ומידע כללי (נא לעיין בסילבוס להרחבה):</t>
  </si>
  <si>
    <t xml:space="preserve">הקורס הוא כמותי אך כולל רכיבים עיוניים. </t>
  </si>
  <si>
    <t>עיקר המפגשים יתבססו על תרגול.</t>
  </si>
  <si>
    <t>תרגילי בית יועלו מעת לעת ואינם להגשה.</t>
  </si>
  <si>
    <t>מידע מפורט בדבר הבחינה יימסר בסמוך לסיום הסמסטר.</t>
  </si>
  <si>
    <t>פניות לסגל:</t>
  </si>
  <si>
    <t>ועכשיו לתוכן עצמו:</t>
  </si>
  <si>
    <t xml:space="preserve">הרוב המכריע של הקורס יעסוק באופציות. נתחיל מדיון בסיסי מאד בהגדרה הרחבה שלהן, ואז נעבור ליישומים </t>
  </si>
  <si>
    <t>פיננסיים ולמשמעות. הקשר של הנושא להנדסה פיננסית ויישומים מתקדמים, בפן הספקולטיבי ובפן גידור הסיכונים,</t>
  </si>
  <si>
    <t xml:space="preserve">יובהר גם הוא בהרחבה. </t>
  </si>
  <si>
    <t>הדיון בתמחור האופציות בצד הטכני (משוואות מתמטיות לפיתוח) יוצג באופן עקרוני, הדגש יהיה יישומי בעיקרו</t>
  </si>
  <si>
    <t xml:space="preserve">והמתמטיקה ברמה סבירה ולא מעבר. </t>
  </si>
  <si>
    <t xml:space="preserve">מכשירים נוספים כחוזים עתידיים יוצגו גם הם, והיבטים תיאורטיים בתמחיר ישמשו כחלק מהדיון. </t>
  </si>
  <si>
    <t>נושא 1 - אופציות - ובפרט אופציית Call</t>
  </si>
  <si>
    <t>במקום להגדיר בצורה מאד טכנית (וגם זה עוד יקרה) נתחיל מהדגמה בסיסית:</t>
  </si>
  <si>
    <t>השיעורים עצמם יועברו פרונטלית וגם יוקלטו, וכל התוכן הכתוב המורחב יועלה לאתר ויעודכן לאחר כל מפגש.</t>
  </si>
  <si>
    <t>למורן יש מחשב Windows:</t>
  </si>
  <si>
    <t>לשי יש Macbook Air M1:</t>
  </si>
  <si>
    <t>שי מעוניין למכור את ה- Mac למורן, אבל למורן עדיין אין מספיק כסף כדי לקנות אותו כרגע. לכן, שי ומורן מסכימים</t>
  </si>
  <si>
    <t>אלו. עד לתום החודשיים, לכל המאוחר, מורן תצטרך להחליט האם היא משלימה את רכישת המחשב בתמורה לתשלום</t>
  </si>
  <si>
    <r>
      <t xml:space="preserve">נוסף של 2,600 ש״ח, או מוותרת - במקרה שכזה, הסכום של 400 ש״ח </t>
    </r>
    <r>
      <rPr>
        <u/>
        <sz val="12"/>
        <color theme="1"/>
        <rFont val="David"/>
      </rPr>
      <t>לא</t>
    </r>
    <r>
      <rPr>
        <sz val="12"/>
        <color theme="1"/>
        <rFont val="David"/>
      </rPr>
      <t xml:space="preserve"> יוחזר לה.</t>
    </r>
  </si>
  <si>
    <t>An option is a contrcat allowing the recipient</t>
  </si>
  <si>
    <t xml:space="preserve">the right, but not the obligation, </t>
  </si>
  <si>
    <t>to transact a known transaction (buy or sell)</t>
  </si>
  <si>
    <t>of a known asset at a known price</t>
  </si>
  <si>
    <t>in a known, pre-defined, timeframe.</t>
  </si>
  <si>
    <t xml:space="preserve">את הזכות, אך לא את החובה, </t>
  </si>
  <si>
    <t>עד למועד ידוע</t>
  </si>
  <si>
    <t>חוזה - contract</t>
  </si>
  <si>
    <t>רוכש האופציה - recipient</t>
  </si>
  <si>
    <t>נכס מסוים (נכס בסיס) - known asset / base asset</t>
  </si>
  <si>
    <t>המחיר שבו ניתן לקנות / למכור את נכס הבסיס לפי הגדרת חוזה הסכם האופציה. נקרא גם ״תוספת מימוש״ (strike).</t>
  </si>
  <si>
    <t>אופציות אמריקאיות - ניתנות למימוש בכל עת בחלון הזמן המוגדר.</t>
  </si>
  <si>
    <t>אופציות אירופאיות - ניתנות למימוש במועד האחרון של חלון הזמן המוגדר.</t>
  </si>
  <si>
    <t>שי</t>
  </si>
  <si>
    <t>מורן</t>
  </si>
  <si>
    <t>רוכש האופציה (שי/מורן):</t>
  </si>
  <si>
    <t>נכס בסיס:</t>
  </si>
  <si>
    <t>במחיר ידוע/תוספת מימוש - at a known price / strike</t>
  </si>
  <si>
    <t>ה-strike:</t>
  </si>
  <si>
    <t>עד למועד ידוע (מועד המימוש / הפקיעה) - pre-defined timeframe</t>
  </si>
  <si>
    <t>מועד מימוש/פקיעה:</t>
  </si>
  <si>
    <t>פרמיה:</t>
  </si>
  <si>
    <t>תרגול קטן - מושגים על בסיס הדוגמא של שי ומורן:</t>
  </si>
  <si>
    <t>הגדרות בסיסיות ופרשנות:</t>
  </si>
  <si>
    <t>Originator / Option writer / Option seller / Short Option</t>
  </si>
  <si>
    <t>כותב האופציה</t>
  </si>
  <si>
    <t>במקרה זה כותב האופציה הוא שי. אפשר להשתמש במונח מוכר האופציה, אך עדיף שלא, משום שהוא מבלבל כאשר</t>
  </si>
  <si>
    <t xml:space="preserve">מדובר באופציות הנסחרות בשוק המשני (בבורסה). </t>
  </si>
  <si>
    <t>אופציית Call</t>
  </si>
  <si>
    <t>Call Option</t>
  </si>
  <si>
    <t>אופציה שמעגנת עבור ה- recipient את הזכות לרכוש את נכס הבסיס.</t>
  </si>
  <si>
    <t>Put Option</t>
  </si>
  <si>
    <t>אופציה שמעגנת עבור ה - recipient את הזכות למכור את נכס הבסיס.</t>
  </si>
  <si>
    <t>Macbook</t>
  </si>
  <si>
    <t>עד חודשיים</t>
  </si>
  <si>
    <t>כותב האופציה (שי/מורן):</t>
  </si>
  <si>
    <t>סוג האופציה (Call/Put):</t>
  </si>
  <si>
    <t>Call</t>
  </si>
  <si>
    <t>בשיעורים העולים משמעותית על אלו הנובעים מהשקעה ישירה של אותו סכום בנכס הבסיס עצמו. החשיפה המוגברת</t>
  </si>
  <si>
    <t>משמעה הנבת ערך גבוה יותר, באופן יחסי / באחוזים, מעליה / ירידה במחיר נכס הבסיס.</t>
  </si>
  <si>
    <t xml:space="preserve">אם האופציה משולבת כחלק מתיק הכולל נכסים מגודרים. בנושא זה, נרחיב יותר בהמשך. </t>
  </si>
  <si>
    <t>מהם הנכסים עליהם ניתן לכתוב / לקנות אופציות?</t>
  </si>
  <si>
    <t xml:space="preserve">כל נכס. יחד עם זאת, הקורס יתמקד באופציות סחירות המתייחסות לנכסי בסיס סחירים, כגון מניות ומדדי מניות. </t>
  </si>
  <si>
    <t>אפשר קצת מספרים? תרגיל שיעזור להבין טוב יותר את הסיפור?</t>
  </si>
  <si>
    <t xml:space="preserve">הסתכמה ב-20 דולר ומועד המימוש / הפקיעה שלה הוא בחלוף חודשיים מהיום. </t>
  </si>
  <si>
    <t>של 10 דולר. הוסיפו הצגה גרפית והסבירו בקצרה את המשמעויות.</t>
  </si>
  <si>
    <t>מחיר סגירה</t>
  </si>
  <si>
    <t>בשוק</t>
  </si>
  <si>
    <t>st</t>
  </si>
  <si>
    <t>תזרים</t>
  </si>
  <si>
    <t>במימוש</t>
  </si>
  <si>
    <t>cf</t>
  </si>
  <si>
    <t>רווח</t>
  </si>
  <si>
    <t>לרוכש</t>
  </si>
  <si>
    <t>p&amp;l</t>
  </si>
  <si>
    <t>פתרון:</t>
  </si>
  <si>
    <t xml:space="preserve">בבסיס הניתוח ניצבת ההבחנה לפיה מדובר באופציית Call, כלומר אופציית רכש. שי יכול לרכוש את נכס הבסיס, </t>
  </si>
  <si>
    <t xml:space="preserve">הואיל ושי הוא ה - recipient בכתב האופציה (קונה האופציה, long call) הרי שיש לו זכות, ולא חובה, לממש את </t>
  </si>
  <si>
    <t xml:space="preserve">זכותו לרכוש את המניה בתמורה ל-100 דולר כאמור. </t>
  </si>
  <si>
    <t xml:space="preserve">השאלה הבסיסית והיסודית הוא באילו מקרים, או בכפוף לאיזה טווח של מחירי השוק, שי יבחר לממש את </t>
  </si>
  <si>
    <t>האופציה (את הזכות). כדי להקל על ההשתתפות, נשאל את זה בפורמט רב ברירה:</t>
  </si>
  <si>
    <t xml:space="preserve">א. בכל מקרה שבו מחיר המניה בשוק במועד המימוש גבוה מ-100. </t>
  </si>
  <si>
    <t xml:space="preserve">ב. בכל מקרה שבו מחיר המניה בשוק במועד המימוש נמוך מ-100. </t>
  </si>
  <si>
    <t xml:space="preserve">ד. בכל מקרה שבו מחיר המניה בשוק במועד המימוש נמוך מ-120. </t>
  </si>
  <si>
    <t>ה. בכל מקרה שבו מחיר המניה בשוק במועד המימוש גבוה מ-80.</t>
  </si>
  <si>
    <t>והתשובה הנכונה היא:</t>
  </si>
  <si>
    <t xml:space="preserve">זו איננה ניתנת להשבה, ולכן כל מקרה שבו המחיר בשוק גבוה מ-100, גם אם במעט, מאפשר לשי להשיב </t>
  </si>
  <si>
    <t xml:space="preserve">חלק מעלות זו. </t>
  </si>
  <si>
    <t>בכפוף לכך, ניתן לקבוע את הכלל הבא:</t>
  </si>
  <si>
    <t>st &gt; x</t>
  </si>
  <si>
    <t>תרגיל מס׳ 1 - יחד</t>
  </si>
  <si>
    <t>תרגיל מס׳ 2 - תרגול עצמי בכיתה</t>
  </si>
  <si>
    <t xml:space="preserve">מורן רכשה אופציית Call על מניה y. האופציה מקנה זכות לרכוש מניה אחת של y בתמורה ל-60 דולר. עלות האופציה </t>
  </si>
  <si>
    <t xml:space="preserve">הסתכמה ב-10 דולר ומועד המימוש / הפקיעה שלה הוא בחלוף חודשיים מהיום. </t>
  </si>
  <si>
    <t>נדרש: הציגו את התזרים בפקיעה ואת הרווח / ההפסד של מורן, בטווח מחירי סגירה שבין 20 דולר ל-130 דולר, במרווחים</t>
  </si>
  <si>
    <t>של 10 דולר. הוסיפו הצגה גרפית.</t>
  </si>
  <si>
    <t>סיכום ביניים למפגש ראשון</t>
  </si>
  <si>
    <t>למדנו באופן בסיסי על מהותן של אופציות בכלל ואופציות Call בפרט.</t>
  </si>
  <si>
    <t xml:space="preserve">הצגנו ותרגלנו מקרים ״נאיביים״ - פשוטים, של השקעה באופציית Call כזו, מצד ה - Recipient. </t>
  </si>
  <si>
    <t>במפגש הבא, נבנה על הידע הרלוונטי שיצרנו, ונציג את הסוגיות הבאות:</t>
  </si>
  <si>
    <t>א. סוגיית המכפיל: כשנכס הבסיס נרכש בכמות גבוהה על כל יחידת הסכם אופציה.</t>
  </si>
  <si>
    <t xml:space="preserve">ב. סוגיית הצד הנגדי (הכותב): משחק סכום אפס בהשקעה באופציות. </t>
  </si>
  <si>
    <t xml:space="preserve">ג. סוגיית אופציית ה - Put: אופציית מכר ומשמעותה, ויישומים רלוונטיים. </t>
  </si>
  <si>
    <t>לאחר הידע הנוסף שנגבש במפגש השני, נוכל אט אט לדון יותר לעומק בשילובים ובאסטרטגיות נבחרות ומשמעותן</t>
  </si>
  <si>
    <t>הפיננסיות.</t>
  </si>
  <si>
    <t>אופציות ומכשירים פיננסיים מתוחכמים - הרצאה 1 - מבוא לאופציות ו - Call בסיסי</t>
  </si>
  <si>
    <t>הסכום של 400 ש״ח, שמשולם במועד חתימת ההסכם (קניית האופציה ע״י מורן) נקרא ״פרמיה״ = מחיר האופציה.</t>
  </si>
  <si>
    <t>הסכום הכספי שיש להוסיף כדי לממש אותה = תוספת המימוש, ולכן במקרה זה הסכום הוא 2,600 ש״ח.</t>
  </si>
  <si>
    <t>עיתוי המימוש האפשרי:</t>
  </si>
  <si>
    <t>עד לתום חודשיים ממועד החתימה.</t>
  </si>
  <si>
    <t>נדגיש: במקרה שלנו, מורן רכשה משי (הכותב) זכות לקנות נכס בסיס (מחשב). כאשר הזכות נשואת העסקה היא זכות</t>
  </si>
  <si>
    <t xml:space="preserve">קניה של נכס הבסיס, נקרא לסוג האופציה - אופציית Call. </t>
  </si>
  <si>
    <t>אופציית Put (לא רלוונטי לדוגמא הנדונה אך להשלמה מושגית)</t>
  </si>
  <si>
    <t xml:space="preserve">על סוג אופציה זה נרחיב בהמשך. </t>
  </si>
  <si>
    <t>X</t>
  </si>
  <si>
    <t>V</t>
  </si>
  <si>
    <t>חידוד:</t>
  </si>
  <si>
    <t>כל עוד st&lt;=x</t>
  </si>
  <si>
    <t>כלומר המחיר בשוק (st) קטן או שווה למחיר המימוש (x), לא ממשים את האופציה.</t>
  </si>
  <si>
    <t xml:space="preserve">וספציפית, במועד הפקיעה, התזרים יהיה אפס (אין מימוש, אין תזרים). </t>
  </si>
  <si>
    <t xml:space="preserve">כדי להגיע לרווח / ההפסד, נפחית מהתזרים בפקיעה את הפרמיה. </t>
  </si>
  <si>
    <t>כאשר st&gt;x</t>
  </si>
  <si>
    <t>כלומר המחיר בשוק (st) גדול ממחיר המימוש (x), ממשים את האופציה.</t>
  </si>
  <si>
    <t>במצב כזה, התזרים במימוש הוא ההפרש:</t>
  </si>
  <si>
    <t xml:space="preserve">st - x </t>
  </si>
  <si>
    <t xml:space="preserve">CF = </t>
  </si>
  <si>
    <t>וכדי להגיע לרווח / ההפסד, נפחית מתזרים זה את הפרמיה.</t>
  </si>
  <si>
    <t>הצגה גרפית</t>
  </si>
  <si>
    <t>פתרון מלא:</t>
  </si>
  <si>
    <t>גרף - הואיל והבחינה איננה על מחשב, מומלץ להתנסות</t>
  </si>
  <si>
    <t>באיור ״ידני״.</t>
  </si>
  <si>
    <t>תבנית ללא פתרון - נא לפתור / להשלים בלי להציץ בהמשך :)</t>
  </si>
  <si>
    <t>תכני המפגש:</t>
  </si>
  <si>
    <t xml:space="preserve">א. רענון לגבי תפקידן של אופציות בכלל, אופציית Call בפרט וחיבור למפגש הקודם. </t>
  </si>
  <si>
    <t>ב. ההבדל בין קניית אופציית Call לכתיבת אופציה, תזרימית, ברמת הרווח וברמה גרפית.</t>
  </si>
  <si>
    <t>במפגש הקודם הצגנו את המושג ״אופציית רכש״ (אופציית Call). במסגרת זאת הובהר שמדובר באופציה המעניקה</t>
  </si>
  <si>
    <t xml:space="preserve">מסויים, למשל מניה, במחיר מסוים (תוספת מימוש = strike), עד מועד קבוע וידוע (תאריך מימוש / פקיעה). </t>
  </si>
  <si>
    <t>לצד המחזיק באופציה (the recipeient of the call option) כלומר מצוי בפוזיציה של long call, לרכוש נכס בסיס</t>
  </si>
  <si>
    <t>הבהרנו כי הדרך שבה מחשבים את התזרים בפקיעה בכל מחיר שוק ״חיצוני״ אפשרי לנכס הבסיס (למשל המניה)</t>
  </si>
  <si>
    <t>כאשר</t>
  </si>
  <si>
    <t>התזרים בפקיעה יהיה</t>
  </si>
  <si>
    <t>st - x</t>
  </si>
  <si>
    <t xml:space="preserve">כאשר </t>
  </si>
  <si>
    <t>st &lt; x</t>
  </si>
  <si>
    <t>st = x</t>
  </si>
  <si>
    <t xml:space="preserve">נשען על סימן ההפרש בין מחיר השוק במועד זה (st = spot price on time t) לבין תוספת המימוש/strike המסומנת x. </t>
  </si>
  <si>
    <t>P&amp;L = CF - p</t>
  </si>
  <si>
    <t>בנוסף הבהרנו כי הרווח למחזיק אופציית ה call כלומר משקיע בפוזיציה של long call יהיה התזרים בפקיעה (CF)</t>
  </si>
  <si>
    <t>בניכוי הפרמיה (p). במלים אחרות:</t>
  </si>
  <si>
    <t>בנוסף הראינו כי באופן עקרוני, התזרים והרווח בפקיעה דומה לגרף המוצג מטה - הציר האופקי מציג את מחירי</t>
  </si>
  <si>
    <t xml:space="preserve">השוק האפשריים בפקיעה (st) והציר האנכי את התזרים (CF = blue) ואת הרווח / ההפסד (p&amp;l = red). </t>
  </si>
  <si>
    <t>הלוגיקה המבוטאת בתרשים זה נשענת על כך שככל שמחיר המניה בשוק עולה, פוטנציאלית עולה (החל מנקודה</t>
  </si>
  <si>
    <t>מסוימת) הערך של האופציה שמאפשרת רכישה במחיר קבוע ומוגדר.</t>
  </si>
  <si>
    <t>עד כה הדיון באופציית Call התבסס על ההשפעה הכספית, הן ברמת התזרים במועד עיתוי הפקיעה והן ברמת הרווח</t>
  </si>
  <si>
    <t xml:space="preserve">וההפסד בראייה של העסקה כולה (ערך המתחשב גם בפרמיה) מנקודת ראותו של קונה האופציה, בעל הזכות. </t>
  </si>
  <si>
    <t>כמובן שכדי שעסקת אופציה תצא אל הפועל, חייב להיות צד נגדי, שהוא זה ש״מנפיק״ או ״כותב״ את החוזה</t>
  </si>
  <si>
    <t>נשוא העסקה (option originator / writer). במלים אחרות, מה תהיה ההשלכה של מצב שבו אנו מעניקים לגורם</t>
  </si>
  <si>
    <t>אחר את הזכות לרכוש נכס בסיס במחיר ידוע מראש עד מועד ידוע מראש? נציג כעת תרגיל מתאים, ונדון בו בשני</t>
  </si>
  <si>
    <t>מקרים שונים: במקרה האחד, תתמקד ההצגה בהבנה המלאה של התהליך נשוא הדיון. לאחר מכן, נציג את התהליך</t>
  </si>
  <si>
    <t>הטכני המומלץ לדיון בכתיבה לדעתי מבחינת פתרון תרגילים, לאחר שההעמקה של ההבנה כבר התקיימה.</t>
  </si>
  <si>
    <r>
      <t>נסח התרגיל</t>
    </r>
    <r>
      <rPr>
        <sz val="12"/>
        <color theme="1"/>
        <rFont val="David"/>
      </rPr>
      <t>:</t>
    </r>
  </si>
  <si>
    <t xml:space="preserve">שי כתב אופציית רכש (call) על מניה z (נכס הבסיס). מחיר המימוש (strike) באופציה הוא 100 ש״ח למניה. </t>
  </si>
  <si>
    <t>בעד כתיבת האופציה, קיבל שי מרוכש האופציה פרמיה בסך 20 ש״ח.</t>
  </si>
  <si>
    <t>נדרש: הציגו את התזרים בפקיעה (CF) וכן את הרווח / ההפסד של שי במחירי שוק הנעים בין 60 ש״ח ל-140 ש״ח,</t>
  </si>
  <si>
    <t xml:space="preserve">במרווחים של 10 ש״ח. הוסיפו הצגה גרפית מתאימה. </t>
  </si>
  <si>
    <t>תרגיל 3 - כתיבת אופציית Call - מבוא ותרגול - דרך ״ההבנה״</t>
  </si>
  <si>
    <t>תרגיל 4 - כתיבת אופציית Call - מבוא ותרגול - דרך ״טכנית יישומית״</t>
  </si>
  <si>
    <t>בדרך הטכנית היישומית, עיקר המיקוד שלנו נשען על משפט מאד הגיוני כדלקמן:</t>
  </si>
  <si>
    <t>״אופציות הן משחק סכום אפס; תזרים חיובי של צד אחד מגיע תמיד מהצד הנגדי; רווח של צד אחד הוא תמיד הפסד</t>
  </si>
  <si>
    <t>של הצד הנגדי״.</t>
  </si>
  <si>
    <t>משפט זה אומר למעשה, שאם אנו יודעים לחשב את המשמעות התזרימית והרווח / ההפסד מקניית אופציה מסוימת,</t>
  </si>
  <si>
    <t>תמיד ולעולם המשמעות התזרימית והרווח / ההפסד מכתיבת האופציה יהיה בסכום אבסולוטי (ערך מוחלט) זהה,</t>
  </si>
  <si>
    <t>אך בסימן מתמטי הפוך. נדגים זאת.</t>
  </si>
  <si>
    <t xml:space="preserve">שי כתב אופציית רכש (call) על מניה q (נכס הבסיס). מחיר המימוש (strike) באופציה הוא 50 ש״ח למניה. </t>
  </si>
  <si>
    <t>בעד כתיבת האופציה, קיבל שי מרוכש האופציה פרמיה בסך 15 ש״ח.</t>
  </si>
  <si>
    <t>נדרש: הציגו את התזרים בפקיעה (CF) וכן את הרווח / ההפסד של שי במחירי שוק הנעים בין 20 ש״ח ל-80 ש״ח,</t>
  </si>
  <si>
    <t>במרווחים של 10 ש״ח. הדרכה: לצורך הפתרון, הציגו תחילה את התזרים מנקודת ראות רוכש האופציה, ובצעו</t>
  </si>
  <si>
    <t xml:space="preserve">את המרות הסימנים המתאימות למתן הביטוי לערכים המקבילים עבור כותב האופציה רק לאחר מכן. </t>
  </si>
  <si>
    <t>נושא  - אופציית Put - קניה וכתיבה</t>
  </si>
  <si>
    <t>רקע:</t>
  </si>
  <si>
    <t>בעוד שאופציית Call (ובפרט - קנייתה) למעשה יוצרת פוזיציה (השקעה וחשיפה) לעלייה במחיר נכס הבסיס, כפי</t>
  </si>
  <si>
    <t>שניתן לראות הן מהחישובים המתמטיים והן מגרפי הפקיעה שהוצגו, הרי שלעתים משקיע חושש / מעריך שתחול</t>
  </si>
  <si>
    <t xml:space="preserve">דווקא ירידה במחיר נכס בסיס מסויים. </t>
  </si>
  <si>
    <t xml:space="preserve">בדומה לאופציית Call, השקעה באופציה נגדית, המעניקה חשיפה לירידה במחיר נכס הבסיס, יכולה להתבצע </t>
  </si>
  <si>
    <t>משיקולים שונים, ובפרט:</t>
  </si>
  <si>
    <t>א. מתוקף הרצון להרוויח מהתגשמות התרחיש של ירידת מחיר נכס הבסיס - מניע ״ספקולטיבי״.</t>
  </si>
  <si>
    <t>ב. מתוקף הרצון להגן על נכס בסיס שברשותי מפני ירידת ערכו - מניע ״גידורי״.</t>
  </si>
  <si>
    <t xml:space="preserve">הכינוי לאופציה כזו, המייצרת חשיפה לירידת שווי של נכס הבסיס, נקראת אופציית Put או ״אופציית מכר״. </t>
  </si>
  <si>
    <t>כלומר:</t>
  </si>
  <si>
    <t>הבסיס במחיר קבוע וידוע, עד למועד מוגדר מראש.</t>
  </si>
  <si>
    <r>
      <t xml:space="preserve">אופציית Put היא אופציה המעניקה למחזיק בה (the recipient, long put position) את הזכות </t>
    </r>
    <r>
      <rPr>
        <u/>
        <sz val="12"/>
        <color theme="1"/>
        <rFont val="David"/>
      </rPr>
      <t>למכור</t>
    </r>
    <r>
      <rPr>
        <sz val="12"/>
        <color theme="1"/>
        <rFont val="David"/>
      </rPr>
      <t xml:space="preserve"> את נכס</t>
    </r>
  </si>
  <si>
    <t>שאלת בסיס 1:</t>
  </si>
  <si>
    <t xml:space="preserve">שי, עלה רגע למעלה... תוכל להראות שוב את הגרף של כתיבת Call? כי לדעתי גם מדובר באופציה שבה הכותב </t>
  </si>
  <si>
    <t>מרוויח במידה ומחיר נכס הבסיס יורד... אז מדוע צריך את זה בכלל?</t>
  </si>
  <si>
    <t>התשובה שלנו:</t>
  </si>
  <si>
    <t>x - st</t>
  </si>
  <si>
    <t>בנוסף הבהרנו כי הרווח למחזיק אופצייה (באשר היא, לרבות משקיע long put) יהיה התזרים בפקיעה (CF)</t>
  </si>
  <si>
    <t>דונגי רכש אופציית מכר (Put) על מניה j. מחיר המימוש של האופציה הוא 120 ש״ח, והפרמיה ששולמה בעד האופציה</t>
  </si>
  <si>
    <t>במועד הרכישה היא 30 ש״ח. הציגו תזרימים ורווח / הפסד בפקיעה בטווח מחירי סגירה של 40-200, במרווחים</t>
  </si>
  <si>
    <t xml:space="preserve">של 10 ש״ח, באופן מתמטי (בטבלה במבנה המקובל) וגרפי. </t>
  </si>
  <si>
    <t>דיון עם הקהל: מהו ההיגיון במבנה תזרימי זה?</t>
  </si>
  <si>
    <t>במועד הרכישה היא 20 ש״ח. הציגו תזרימים ורווח / הפסד בפקיעה בטווח מחירי סגירה של 60-140, במרווחים</t>
  </si>
  <si>
    <t>הגדרות תזרימים ורווח / הפסד מקניית אופציית Put כלומר פוזיציית long put:</t>
  </si>
  <si>
    <t>סיכום כללי תזרים בפקיעה - פוזיציית long call:</t>
  </si>
  <si>
    <t>אופציות ומכשירים פיננסיים מתוחכמים - הרצאה 2 - כתיבת Call, קניה וכתיבת Put, מבוא לאסט׳</t>
  </si>
  <si>
    <t>תוכן העניינים לפי מס׳ שיעורים</t>
  </si>
  <si>
    <t>מס׳ שיעור</t>
  </si>
  <si>
    <t>תאריך</t>
  </si>
  <si>
    <t>נושא</t>
  </si>
  <si>
    <t>מחיר שוק</t>
  </si>
  <si>
    <t>רווח / הפסד</t>
  </si>
  <si>
    <t xml:space="preserve">מנקודת ראות הכותב, עליו להביט על האינטרס של הקונה כדי לשער את התזרים בפקיעה. </t>
  </si>
  <si>
    <t>בפרט, במחירי שוק נמוכים או שווים למחיר המימוש (100) לקונה האופציה (הצד הנגדי) אין אינטרס לממש את האופציה,</t>
  </si>
  <si>
    <t xml:space="preserve">היא תפקע ״ללא ביצוע״ והתזרים יהיה 0. </t>
  </si>
  <si>
    <t>לעומת זאת, במחירי שוק גבוהים ממחיר המימוש (100) לקונה האופציה (הצד הנגדי) יש אינטרס לממש את האופציה,</t>
  </si>
  <si>
    <t>המימוש יניב תזרים חיובי לקונה האופציה (צד נגדי) לפי ההפרש בין מחיר השוק לבין מחיר המימוש - תזרים חיובי זה</t>
  </si>
  <si>
    <t xml:space="preserve">עבור קונה האופציה הוא התזרים השלילי של המוכר. </t>
  </si>
  <si>
    <t xml:space="preserve">מעבר לכך, כדי לחשב רווח / הפסד, מנקודת ראות הכותב (המקבל פרמיה, ולא משלמה) - יש להוסיפה לתזרים, </t>
  </si>
  <si>
    <t xml:space="preserve">בסימן חיובי. </t>
  </si>
  <si>
    <t>long call</t>
  </si>
  <si>
    <t>short call</t>
  </si>
  <si>
    <t>cf long</t>
  </si>
  <si>
    <t>p&amp;l long</t>
  </si>
  <si>
    <t>cf short</t>
  </si>
  <si>
    <t>p&amp;l short</t>
  </si>
  <si>
    <t>כאשר כותבים אופציית Call הרווח מוגבל לסכום הפרמיה. לכן מקובל יותר לדון בצפי ל״אי שינוי״ מחיר</t>
  </si>
  <si>
    <t>נכס הבסיס, ביחס ל - x (ה-strike) ולאו דווקא לירידות עקרונית.</t>
  </si>
  <si>
    <t>אופציית Put לעומת זאת אוטומטית מגדילה את התקבול בגין הירידות עד לסכום תזרים מירבי במימוש</t>
  </si>
  <si>
    <t>שהוא סכום ה - strike במלואו (ממש בדומה לביטוח רכב, שמבטח את מלוא שווי הרכב ולא את הפרמיה ששולמה).</t>
  </si>
  <si>
    <t>מימוש זכות למכור (put) יבוצע רק אם היכולת למכור בשוק (מחיר השוק spot price on time t = st) נמוך יותר</t>
  </si>
  <si>
    <t xml:space="preserve">ממחיר המימוש הנקוב באופציה (ה - strike, המסומן x). בכל מקרה אחר עדיף למכור בשוק החופשי. </t>
  </si>
  <si>
    <t>התזרים במצב כזה (שבו מחיר השוק st נמוך מ-x) הוא בגובה ההפרש בין הערכים. אם, למשל, אנו יכולים למכור</t>
  </si>
  <si>
    <t>ב-100 ומחיר השוק 80, התזרים יהיה 20. תזרים מלא והדגמה - ראו מטה בתרגיל 5.</t>
  </si>
  <si>
    <t>פתרנו בכיתה</t>
  </si>
  <si>
    <t>משה כתב אופציית Call על מניה s. מחיר המימוש הוא 35 ש״ח. הפרמיה שנתקבלה בעד הכתיבה היא 10 ש״ח.</t>
  </si>
  <si>
    <t>נדרש: הציגו תזרים בפקיעה ורווח / הפסד במחירי שוק בטווח שבין 15 ש״ח ל-60 ש״ח במרווחים של 5 ש״ח.</t>
  </si>
  <si>
    <t>CF</t>
  </si>
  <si>
    <t>שיעורי בית והנחיות</t>
  </si>
  <si>
    <t>קונידה רכשה אופציית put על מניית חורטיצה. מחיר המימוש הוא 20 ש״ח. הפרמיה שנתקבלה במועד הכתיבה</t>
  </si>
  <si>
    <t xml:space="preserve">היא 8 ש״ח. </t>
  </si>
  <si>
    <t xml:space="preserve">נדרש: הציגו תזרים בפקיעה ורווח / הפסד במחירי שוק בטווח שבין 0 ש״ח ל-40 ש״ח במרווחים של 5 ש״ח. </t>
  </si>
  <si>
    <t>המשך נושא 1 - אופציית Call - רענון</t>
  </si>
  <si>
    <t>שיעורי בית לא להגשה</t>
  </si>
  <si>
    <t>x</t>
  </si>
  <si>
    <t>premium</t>
  </si>
  <si>
    <t>משקיע מסוים רכש מניות המרכיבות את מדד ת״א 35. המשקיע חושש מירידות שערים. מהי הדרך המיטבית מבין הבאות</t>
  </si>
  <si>
    <t>להגן על השקעתו?</t>
  </si>
  <si>
    <t>א. רכישת אופציות Call על המדד.</t>
  </si>
  <si>
    <t>ב. רכישת אופציות Put על המדד.</t>
  </si>
  <si>
    <t>ג. כתיבת אופציית Put על המדד.</t>
  </si>
  <si>
    <t>ד. כתיבת אופציות Call על המדד.</t>
  </si>
  <si>
    <t xml:space="preserve">התשובה הנכונה: ב. </t>
  </si>
  <si>
    <t xml:space="preserve">משקיע רכש אופציית מכר על הדולר Put3.8 אשר עלותה 1,500 ש״ח (הדרכה: 3.8 הוא ה - strike). אם שער הדולר </t>
  </si>
  <si>
    <t>בפקיעה הוא 3.836, ניתן לטעון ש:</t>
  </si>
  <si>
    <t>א. המשקיע ירוויח מהפוזיציה 1,464 ש״ח.</t>
  </si>
  <si>
    <t>ב. המשקיע יפסיד מהפוזיציה 360 ש״ח.</t>
  </si>
  <si>
    <t>ג. המשקיע יפסיד מהפוזיציה 1,500 ש״ח.</t>
  </si>
  <si>
    <t>ד. המשקיע יפסיד מהפוזיציה 1,140 ש״ח.</t>
  </si>
  <si>
    <t>ה. כל יתר התשובות שגויות.</t>
  </si>
  <si>
    <t>P&amp;L</t>
  </si>
  <si>
    <t xml:space="preserve">כך שלמעשה ניתן להתייחס לקניית Put כאל ״ביטוח״ נכס הבסיס. </t>
  </si>
  <si>
    <t xml:space="preserve"> st</t>
  </si>
  <si>
    <r>
      <t xml:space="preserve">קוקי </t>
    </r>
    <r>
      <rPr>
        <b/>
        <sz val="12"/>
        <color theme="1"/>
        <rFont val="David"/>
      </rPr>
      <t>כתב (Short)</t>
    </r>
    <r>
      <rPr>
        <sz val="12"/>
        <color theme="1"/>
        <rFont val="David"/>
      </rPr>
      <t xml:space="preserve"> אופציית מכר (Put) על מניה k. מחיר המימוש של האופציה הוא 100 ש״ח, והפרמיה ששולמה בעד האופציה</t>
    </r>
  </si>
  <si>
    <t>בשאלות הדורשות פתרון נקודתי (מה יהיה הרווח / ההפסד בשער / מחיר מסויים, ולא בטווח שערים), הדבר הראשון</t>
  </si>
  <si>
    <t>שנרצה לדעת הוא האם בכלל יש טעם לממש את האופציה בהתאם לנתוניה ובהשוואה לנתוני השוק.</t>
  </si>
  <si>
    <t>כאן: מדובר באופציית Put</t>
  </si>
  <si>
    <t>אלא שבמקרה זה, המחיר בשוק (שבו ניתן למכור דולר בשוק החופשי) גבוה יותר: 3.836 ש״ח (ה-st).</t>
  </si>
  <si>
    <t>אופציה המאפשרת למכור נכס בסיס (דולר) במחיר מסוים: 3.8 (ה - strike המסומן x).</t>
  </si>
  <si>
    <t xml:space="preserve">ולכן המכירה לא תבוצע דרך האופציה, אלא דרך השוק החופשי. האופציה לא תמומש. </t>
  </si>
  <si>
    <t>הואיל ואין מימוש אופציה, הרוכש שלה (של האופציה) מפסיד את כל הפרמיה: 1,500 ש״ח.</t>
  </si>
  <si>
    <t xml:space="preserve">התשובה: ג. </t>
  </si>
  <si>
    <t xml:space="preserve">בפקיעה הוא 3.7, חשבו רווח / הפסד (הדרכה: חשבו CF ״כרגיל״ וכפלו אותו ב-10,000, לאחר מכן נכו פרמיה). </t>
  </si>
  <si>
    <t>ידוע כי:</t>
  </si>
  <si>
    <t xml:space="preserve">x = </t>
  </si>
  <si>
    <t xml:space="preserve">st = </t>
  </si>
  <si>
    <t>תנאי למימוש אופציית Put:</t>
  </si>
  <si>
    <t>x &gt; st</t>
  </si>
  <si>
    <t>האם התנאי מתקיים?</t>
  </si>
  <si>
    <t>תזרים במימוש ל-1 דולר:</t>
  </si>
  <si>
    <t>מכפיל:</t>
  </si>
  <si>
    <t>בניכוי פרמיה = p&amp;l</t>
  </si>
  <si>
    <r>
      <rPr>
        <b/>
        <u/>
        <sz val="12"/>
        <color theme="1"/>
        <rFont val="David"/>
      </rPr>
      <t>כן</t>
    </r>
    <r>
      <rPr>
        <sz val="12"/>
        <color theme="1"/>
        <rFont val="David"/>
      </rPr>
      <t>/לא</t>
    </r>
  </si>
  <si>
    <t xml:space="preserve">x - st = </t>
  </si>
  <si>
    <t>0.1 * 10,000 =</t>
  </si>
  <si>
    <t>סך התזרים CF:</t>
  </si>
  <si>
    <t>1,000 - 1,500=</t>
  </si>
  <si>
    <t>משקיע מחזיק 20,000 דולר. ברצונו להגן על כל השקעתו מפני ירידה אפשרית בשער הדולר. סמנו בהתאם לנלמד</t>
  </si>
  <si>
    <t>את אסטרטגיית ההגנה הטובה ביותר מבין האפשרויות הבאות:</t>
  </si>
  <si>
    <t>א. רכישת 20,000 אופציות Call על הדולר.</t>
  </si>
  <si>
    <t>ב. רכישת 2 אופציות Put על הדולר.</t>
  </si>
  <si>
    <t>ג. רכישת 20,000 אופציות Put על הדולר.</t>
  </si>
  <si>
    <t>ד. כתיבת 2 אופציות Put על הדולר.</t>
  </si>
  <si>
    <t>ראשית, מבין הכלים שנלמדו, הגנה על נכסי בסיס מתאפשרת עקרונית באופן מלא על בסיס קניית אופציית Put</t>
  </si>
  <si>
    <t xml:space="preserve">המבטיחה מחיר מימוש מסויים לנכס הבסיס במידה וערכו יורד אל מתחת למחיר מימוש זה. </t>
  </si>
  <si>
    <t xml:space="preserve">לכן, מסיחים א ו-ד נפסלים, ואנו נותרים עם מסיחים ב או ג. </t>
  </si>
  <si>
    <t>כעת, נזכור שבאופציות על מט״ח (צריך לדעת זאת) המכפיל הוא 10,000 במונחי יחידות נכס הבסיס, כלומר</t>
  </si>
  <si>
    <t xml:space="preserve">אופציית Put אחת שרכשנו מעגנת (מקבעת) את מחיר המכירה ל-10,000 דולר. ואם ברשותנו 20,000 דולר, </t>
  </si>
  <si>
    <t>יש לרכוש 2 אופציות Put על הדולר.</t>
  </si>
  <si>
    <t>כמובן, ניתן לרכוש גם יותר. אבל אז מדובר בעסקה ספקולטיבית ולא בעסקת הגנה על הנכסים הקיימים.</t>
  </si>
  <si>
    <t xml:space="preserve">מכל הסיבות המפורטות, התשובה הנכונה היא ב. </t>
  </si>
  <si>
    <t>משה רכש 3 אופציות Call על הדולר. מחיר המימוש של האופציה הוא 3.4 ש״ח לדולר.</t>
  </si>
  <si>
    <t xml:space="preserve">בהנחה שהפרמיה ששולמה ברכישה היא 2,000 ש״ח, הציגו בטבלה את הרווח / ההפסד עבור משה בטווח מחירי </t>
  </si>
  <si>
    <t>CF
For 10,000$</t>
  </si>
  <si>
    <t xml:space="preserve">סגירה אפשריים של שער הדולר שנע בין 2.8 ש״ח לדולר ל-4 ש״ח לדולר, במרווחים של 0.1 ש״ח. </t>
  </si>
  <si>
    <r>
      <t xml:space="preserve">P&amp;L=
</t>
    </r>
    <r>
      <rPr>
        <sz val="11"/>
        <color theme="1"/>
        <rFont val="David"/>
      </rPr>
      <t>CF-premium</t>
    </r>
  </si>
  <si>
    <t>עבור אופציה אחת!</t>
  </si>
  <si>
    <t>עבור 3 אופציות (הנדרש)</t>
  </si>
  <si>
    <t xml:space="preserve">משקיע רכש אופציית רכש על הדולר Call 3.2 אשר עלותה 2,200 ש״ח. אם שער הדולר במועד הפקיעה הוא </t>
  </si>
  <si>
    <t>בסך 3.8 ש״ח לדולר, חשבו רווח / הפסד.</t>
  </si>
  <si>
    <t>האם נממש?</t>
  </si>
  <si>
    <t>כן</t>
  </si>
  <si>
    <t>מה ה - CF ל-1 דולר?</t>
  </si>
  <si>
    <t>מהו המכפיל:</t>
  </si>
  <si>
    <t>מהו סך ה- CF?</t>
  </si>
  <si>
    <t>ננכה פרמיה:</t>
  </si>
  <si>
    <t>סך הרווח:</t>
  </si>
  <si>
    <t>שיעור שבוצע</t>
  </si>
  <si>
    <t>שיעור קרוב</t>
  </si>
  <si>
    <t>שיעור עתידי (תוכן משוער כפוף לקצב התקדמות)</t>
  </si>
  <si>
    <t>תזכורת: פלייליסט מרוכז לכל הסרטונים מופיע בקישור תחת ריכוז חומרי הלמידה באתר.</t>
  </si>
  <si>
    <t>תזכורת:</t>
  </si>
  <si>
    <t>הדיון המעניין באופציות נובע מהיכולת לבנות אסטרטגיות פיננסיות, הן למטרות גידור (הגנה) והן למטרות ספקולטיביות</t>
  </si>
  <si>
    <t>הקשורות לאמונה בדבר שינוי בכיוון ספציפי של השווקים - כדי לייצר חשיפה לשינוי זה ובמקביל להגביל הפסדים ו/או</t>
  </si>
  <si>
    <t xml:space="preserve">לשרת מטרות אחרות כגון הקטנת הפרמיה בעסקה או תועלות נוספות. </t>
  </si>
  <si>
    <t>למרות שגם רכישה או כתיבה של אופציה בודדת היא אסטרטגיה, מקובל לקרוא לה Naked Strategy או אסטרטגיה</t>
  </si>
  <si>
    <t>עירומה, ובמקרים רבים היא פחות מקובלת, שכן כפי שראינו במפגשים קודמים, היא חושפת את המשקיע, הן את</t>
  </si>
  <si>
    <t xml:space="preserve">הצד הכותב אבל במידה רבה גם את הצד הקונה, להפסדים פוטנציאליים משמעותיים. </t>
  </si>
  <si>
    <t xml:space="preserve">גידור הסיכונים ו״חישוק״ הפוזיציה הכוללת למטרות מסוימות. </t>
  </si>
  <si>
    <t>סוגי האסטרטגיות הן כמעט אינסופיות; יחד עם זאת, הבסיס של אסטרטגיות הוא מוכר הן בספרות והן בפרקטיקה</t>
  </si>
  <si>
    <t xml:space="preserve">ואנו נציג ונדגים עקרונות. </t>
  </si>
  <si>
    <t xml:space="preserve">נאמנים להשקפתנו הקורסית, הדיון לא יהיה רק בצד הכמותי והגרפי. כשעובדים עם פלטפורמות מסחר מודרניות, </t>
  </si>
  <si>
    <t>בלאו הכי מקבלים את השפעות האסטרטגיה ברמה הכמותית והגרפית אוטומטית. זה לא מרגש. מה שחשוב לדעת</t>
  </si>
  <si>
    <t>זה את המשמעות הניהולית, האסטרטגית והמשפיעים. זו גם הסיבה לכך שכאמור, הבחינה בקורס פתוחה.</t>
  </si>
  <si>
    <t>פירוט האסטרטגיות שנלמד בקורס הסמסטר (הסבר מלא - בהמשך):</t>
  </si>
  <si>
    <t>מס״ד</t>
  </si>
  <si>
    <t>שם בעברית</t>
  </si>
  <si>
    <t>שם באנגלית</t>
  </si>
  <si>
    <t>מטרה (בקצרה) / השערת המשקיע</t>
  </si>
  <si>
    <t>קניית אוכף</t>
  </si>
  <si>
    <t>Long Straddle</t>
  </si>
  <si>
    <t>רווח בלתי מוגבל משוק תנודתי</t>
  </si>
  <si>
    <t>קניית שוקת</t>
  </si>
  <si>
    <t>Long Strangle</t>
  </si>
  <si>
    <t>רווח בלתי מוגבל משוק תנודתי מאד</t>
  </si>
  <si>
    <t>קניית פרפר</t>
  </si>
  <si>
    <t>Long Butterfly Spread</t>
  </si>
  <si>
    <t xml:space="preserve">גידור ההפסדים משוק תנודתי </t>
  </si>
  <si>
    <t>מרווח עולה</t>
  </si>
  <si>
    <t>Bull Spread</t>
  </si>
  <si>
    <t xml:space="preserve">רווחים מעלייה תוך הקטנת הפרמיה  </t>
  </si>
  <si>
    <t>מרווח יורד</t>
  </si>
  <si>
    <t>Bear Spread</t>
  </si>
  <si>
    <t>רווחים מירידה תוך הקטנת הפרמיה</t>
  </si>
  <si>
    <t>הבהרה: תמיד ולעולם - אם יש צד שקונה אסטרטגיה מסוימת, יש צד שני שכותב אותה, עם תזרימים ורווח / הפסד</t>
  </si>
  <si>
    <t xml:space="preserve">בסימנים מתמטיים הפוכים (ובהתאם - הגרף). יחד עם זאת, הקורס מתמקד בצד המשקיעים ולא בצד הכותבים. </t>
  </si>
  <si>
    <t>זאת משום שעיקר המטרה וההדגש הקורסי שלנו הוא גידור סיכונים פיננסיים וניהול פיננסי יותר מאשר ספקולציה</t>
  </si>
  <si>
    <t>והימור על חשיפה לפוזיציות במטרה להרוויח פרמיה. כמובן שאפשר להרחיב, אבל בכך יתמקד ספציפית דיוננו שלנו.</t>
  </si>
  <si>
    <t>טכני:</t>
  </si>
  <si>
    <t xml:space="preserve">כמובן שגם מועד המימוש / הפקיעה חייב להיות זהה. </t>
  </si>
  <si>
    <t>מטרה:</t>
  </si>
  <si>
    <t>המשקיע ישתמש באסטרטגיה זו כאשר הוא מאמין שמחירו של נכס הבסיס ינוע משמעותית מחוץ</t>
  </si>
  <si>
    <t>יתרון:</t>
  </si>
  <si>
    <t>חסרון:</t>
  </si>
  <si>
    <t xml:space="preserve">תשלום משמעותי של פרמיות. </t>
  </si>
  <si>
    <t>רווח תיאורטי לא מוגבל, רווח משמעותי כשהשוק מתברר כתנודתי מאד, הפסד מירבי בגובה הפרמיות.</t>
  </si>
  <si>
    <t>אופציה</t>
  </si>
  <si>
    <t>Call 50</t>
  </si>
  <si>
    <t>Call 70</t>
  </si>
  <si>
    <t>Put 50</t>
  </si>
  <si>
    <t>Put 60</t>
  </si>
  <si>
    <t xml:space="preserve">להלן נתונים בדבר מחירי האופציות הרלוונטיות (כולן או חלקן) ליישום האסטרטגיה (ערב יישומה): </t>
  </si>
  <si>
    <t>שווי / מחיר</t>
  </si>
  <si>
    <t>בשאלה. נציג להלן בטבלה את התזרים בפקיעה ואת הרווח / ההפסד מכל אופציה וכן מהאסטרטגיה כולה. כמובן</t>
  </si>
  <si>
    <t>שהשווי / מחיר האופציה, קרי עלותה, זוהי הפרמיה.</t>
  </si>
  <si>
    <t>CF Long C50</t>
  </si>
  <si>
    <t>CF Long Put 50</t>
  </si>
  <si>
    <t>P&amp;L Long C50</t>
  </si>
  <si>
    <t>P&amp;L Long P50</t>
  </si>
  <si>
    <t>Total P&amp;L</t>
  </si>
  <si>
    <t xml:space="preserve">נדרש: </t>
  </si>
  <si>
    <t>א. הציגו תזרים בפקיעה / במימוש מהאסטרטגיה, כמותית וגרפית, בטווח מחירים שבין 0 ל-100 במרווחים של 10.</t>
  </si>
  <si>
    <t>ב. חשבו באופן מדויק את נקודות החיתוך של הגרף עם הצירים ופרטו את דרך החישוב.</t>
  </si>
  <si>
    <t>Call 30</t>
  </si>
  <si>
    <t>Call 40</t>
  </si>
  <si>
    <t>Put 30</t>
  </si>
  <si>
    <t>CF C30</t>
  </si>
  <si>
    <t>CF P30</t>
  </si>
  <si>
    <t>אסטרטגיה שנייה: קניית שוקת - כללי</t>
  </si>
  <si>
    <t>תשלום משמעותי של פרמיות אך פחות מאשר קניית אוכף מקבילה, צורך בתנודתיות גבוהה כדי להרוויח.</t>
  </si>
  <si>
    <t xml:space="preserve">לשם פשטות יש להניח מכפיל = 1. </t>
  </si>
  <si>
    <t>הספציפית היום הוא 50 ש״ח, ומחירי האופציות על המניה הם:</t>
  </si>
  <si>
    <t>שווי</t>
  </si>
  <si>
    <t>C50</t>
  </si>
  <si>
    <t>P50</t>
  </si>
  <si>
    <t>C60</t>
  </si>
  <si>
    <t>C40</t>
  </si>
  <si>
    <t>P60</t>
  </si>
  <si>
    <t>P40</t>
  </si>
  <si>
    <t>P&amp;L C60</t>
  </si>
  <si>
    <t>P&amp;L P40</t>
  </si>
  <si>
    <t xml:space="preserve">בוריניו מעוניין לבנות אסטרטגיית קניית שוקת על מניה. הניחו לשם פשטות כי המכפיל = 1. בנוסף הניחו כי מחיר המניה </t>
  </si>
  <si>
    <t>הספציפית היום הוא 30 ש״ח, ומחירי האופציות על המניה הם:</t>
  </si>
  <si>
    <t>C20</t>
  </si>
  <si>
    <t>CF C50</t>
  </si>
  <si>
    <t>P&amp;L C50</t>
  </si>
  <si>
    <t>P25</t>
  </si>
  <si>
    <t>CF P25</t>
  </si>
  <si>
    <t>P&amp;L P25</t>
  </si>
  <si>
    <t>Covered Call</t>
  </si>
  <si>
    <t>הכנסה והקטנת סיכון</t>
  </si>
  <si>
    <t>Protective Put / Married Put</t>
  </si>
  <si>
    <t>עסקת הגנה</t>
  </si>
  <si>
    <t>Protective Collar</t>
  </si>
  <si>
    <t>Iron Condor</t>
  </si>
  <si>
    <t>Iron Butterfly</t>
  </si>
  <si>
    <t>יציבות</t>
  </si>
  <si>
    <t>ראשית חוכמה, ברור לנו לחלוטין שאם מחירי המימוש באוכף הם 50, יש להתעלם לחלוטין מנתוני האופציות האחרות</t>
  </si>
  <si>
    <t>*</t>
  </si>
  <si>
    <t>אסטרטגיה שלישית: קניית פרפר - Long Butterfly Spread</t>
  </si>
  <si>
    <t xml:space="preserve">אסטרטגיה המורכבת מ-3 חלקים: </t>
  </si>
  <si>
    <t>א. קונים Call אחד בתוך הכסף, כזה שה - strike שלו נמוך במיוחד.</t>
  </si>
  <si>
    <t xml:space="preserve">ג. קונים Call אחד מחוץ לכסף, כזה שה - strike שלו גבוה במיוחד, יותר מזה של ב. </t>
  </si>
  <si>
    <t>המשקיע ישתמש באסטרטגיה זו כאשר הוא מאמין שמחירו של נכס הבסיס יהיה יציב, אך הוא מעוניין</t>
  </si>
  <si>
    <t>להגביל את ההפסד המירבי האפשרי במקרה של תנודתיות בנכס הבסיס.</t>
  </si>
  <si>
    <t xml:space="preserve">הגבלת ההפסד. </t>
  </si>
  <si>
    <t xml:space="preserve">רווח מוגבל. </t>
  </si>
  <si>
    <t>תרגיל 20 - קניית פרפר - Long Butterfly Spread - פתרון מרצה</t>
  </si>
  <si>
    <t xml:space="preserve">מואיקנו מעוניין לבנות אסטרטגיית קניית פרפר על מניה. הניחו לשם פשטות כי המכפיל = 1. בנוסף הניחו כי מחיר המניה </t>
  </si>
  <si>
    <t>הספציפית היום הוא 100 ש״ח, ומחירי האופציות על המניה הם:</t>
  </si>
  <si>
    <t>C80</t>
  </si>
  <si>
    <t>C120</t>
  </si>
  <si>
    <t>C100</t>
  </si>
  <si>
    <t>P100</t>
  </si>
  <si>
    <t>P120</t>
  </si>
  <si>
    <t>CF LC 80</t>
  </si>
  <si>
    <t>2 * CF SC100</t>
  </si>
  <si>
    <t>CF LC120</t>
  </si>
  <si>
    <t>Total Premium</t>
  </si>
  <si>
    <t xml:space="preserve">פאוציניו מעוניין לבנות אסטרטגיית קניית פרפר על מניה. הניחו לשם פשטות כי המכפיל = 1. בנוסף הניחו כי מחיר המניה </t>
  </si>
  <si>
    <t>Buy:</t>
  </si>
  <si>
    <t>Call, strike&gt;st</t>
  </si>
  <si>
    <t>Put, st&gt;strike</t>
  </si>
  <si>
    <t>Buy Call: strike &lt; st</t>
  </si>
  <si>
    <t>Write 2 Call: strike = st</t>
  </si>
  <si>
    <t>Buy Call: strike &gt; st</t>
  </si>
  <si>
    <t xml:space="preserve">ב. כותבים 2 אופציות Call בכסף, כזה שה - strike שלו גבוה יותר מ-א. </t>
  </si>
  <si>
    <r>
      <rPr>
        <b/>
        <sz val="12"/>
        <color theme="1"/>
        <rFont val="David"/>
      </rPr>
      <t>Write 2</t>
    </r>
    <r>
      <rPr>
        <sz val="12"/>
        <color theme="1"/>
        <rFont val="David"/>
      </rPr>
      <t xml:space="preserve"> Call: strike = st</t>
    </r>
  </si>
  <si>
    <t>א. הציגו רווח בפקיעה / במימוש מהאסטרטגיה, כמותית וגרפית, בטווח מחירים שבין 50 ל-150 במרווחים של 10.</t>
  </si>
  <si>
    <t>קניית C80</t>
  </si>
  <si>
    <t>כתיבת C100 * 2</t>
  </si>
  <si>
    <t>קניית C120</t>
  </si>
  <si>
    <t xml:space="preserve"> Total P&amp;L</t>
  </si>
  <si>
    <t>Total CF + Total Premium</t>
  </si>
  <si>
    <t>הסבר מפורט: נק׳ החיתוך עם הציר האנכי</t>
  </si>
  <si>
    <t xml:space="preserve">היא זו שמתקבלת כאשר ה - st הוא 0. </t>
  </si>
  <si>
    <t xml:space="preserve">אמנם ערך כזה של st לא נתון בטבלה, </t>
  </si>
  <si>
    <t xml:space="preserve">אבל בהחלט ניתן להציב ולבדוק. </t>
  </si>
  <si>
    <t>בנוסף, כשמדובר בקניית פרפר, תמיד</t>
  </si>
  <si>
    <t>נק׳ החיתוך עם הציר האנכי זהה לערך</t>
  </si>
  <si>
    <t xml:space="preserve">ה - total premium (כנפי הפרפר). </t>
  </si>
  <si>
    <t xml:space="preserve">נק׳ החיתוך עם הציר האופקי מחושבת </t>
  </si>
  <si>
    <t xml:space="preserve">כרגיל לפי היפוכי הסימן: בין 80 ל-90 </t>
  </si>
  <si>
    <t xml:space="preserve">במונחי מחירי שוק, ובין 110 ל-120. </t>
  </si>
  <si>
    <t>בפרט, מדובר ב-85 ו-115 בהתאמה.</t>
  </si>
  <si>
    <t>ראו הקלטה להסבר מילולי.</t>
  </si>
  <si>
    <t>תרשים ״ידני״ לבקשתכם:</t>
  </si>
  <si>
    <t xml:space="preserve">הסבר מפורט: נק׳ החיתוך עם הציר האנכי היא זו שמתקבלת כאשר ה - st הוא 0. </t>
  </si>
  <si>
    <t>נק׳ החיתוך עם הציר האופקי מחושבת כרגיל לפי היפוכי הסימן: בין 0 ל-10 ובין 60 ל-70 במונחי ה - st. בפרט, מדובר במחירים</t>
  </si>
  <si>
    <t>תרגיל 21 - קניית פרפר - Long Butterfly Spread - שיעורי בית לא להגשה</t>
  </si>
  <si>
    <t>CF LC40</t>
  </si>
  <si>
    <t>2 * CF SC50</t>
  </si>
  <si>
    <t>CF LC60</t>
  </si>
  <si>
    <t xml:space="preserve">בקניית פרפר: נק׳ חיתוך עם ציר אנכי היא סך הפרמיות כלומר 2-. </t>
  </si>
  <si>
    <t xml:space="preserve">לגבי נק׳ חיתוך עם ציר אופקי, הן בערכי שוק של 42 ו-58 בהתאמה.  </t>
  </si>
  <si>
    <t>תזכורת לגבי האסטרטגיות שנדונו:</t>
  </si>
  <si>
    <t>וכעת:</t>
  </si>
  <si>
    <t>אסטרטגיה 4: מרווח עולה - Bull Spread - כללי</t>
  </si>
  <si>
    <t>המשקיע ישתמש באסטרטגיה זו כאשר הוא מאמין שמחירו של נכס הבסיס יעלה באופן משמעותי,</t>
  </si>
  <si>
    <t>אך הוא מעוניין להגביל את ההפסד בתרחיש שבו הדבר לא יקרה.</t>
  </si>
  <si>
    <t xml:space="preserve">קונים אופציית Call בתוך הכסף או בכסף, </t>
  </si>
  <si>
    <t>במקביל כותבים אופציית Call מחוץ לכסף.</t>
  </si>
  <si>
    <t>Call, strike&lt;st</t>
  </si>
  <si>
    <t>Call, strike&gt;=st</t>
  </si>
  <si>
    <t>Write:</t>
  </si>
  <si>
    <t xml:space="preserve">הפסד מירבי בגובה הפרשי הפרמיות. </t>
  </si>
  <si>
    <t>רווח מוגבל בתרחיש עלייה.</t>
  </si>
  <si>
    <t>קונים אופציית Put בתוך הכסף או בכסף.</t>
  </si>
  <si>
    <t>ציפיה לירידת שערים תוך דרישה להגביל ההפסד במקרה שהתחזית לא תתגשם.</t>
  </si>
  <si>
    <t>רווח מוגבל בתרחיש ירידה.</t>
  </si>
  <si>
    <t>תרגיל 23 - מרווח עולה - התנסות כיתה</t>
  </si>
  <si>
    <t>תרגיל 22 - מרווח עולה - בסיסי - פתרון ע״י מרצה</t>
  </si>
  <si>
    <t>בנו אסטרטגיית מרווח עולה על ידי קניית Call 50, כתיבת Call 80, בהנחה שהפרמיה על ה C50 היא 30 ש״ח והפרמיה</t>
  </si>
  <si>
    <t>CF LC50</t>
  </si>
  <si>
    <t>CF SC80</t>
  </si>
  <si>
    <t>P&amp;L LC50</t>
  </si>
  <si>
    <t>P&amp;L SC80</t>
  </si>
  <si>
    <t>על ה - C80 היא 10 ש״ח, במרווחים של 10 ובטווח מחירי הסגירה 20-130. כמו כן, הציגו גרף מתאים בהדגש נקודות</t>
  </si>
  <si>
    <t>הסברים נוספים לבקשת הקהל:</t>
  </si>
  <si>
    <t>בשוק ההון נסחרות האופציות הבאות על מניה מסוימת, שמחיר השוק שלה היום הוא 100 ש״ח:</t>
  </si>
  <si>
    <t>Call 120</t>
  </si>
  <si>
    <t xml:space="preserve">נדרש: בנו אסטרטגיית מרווח עולה, הציגו רווח / הפסד בטבלה בטווח מחירי הסגירה של 40-160, והציגו גרף של </t>
  </si>
  <si>
    <t xml:space="preserve">רווח / הפסד בפקיעה כולל ערכי מקסימום, מינימום וחיתוך עם הצירים. </t>
  </si>
  <si>
    <t>CF LC70</t>
  </si>
  <si>
    <t>CF SC120</t>
  </si>
  <si>
    <t>P&amp;L LC70</t>
  </si>
  <si>
    <t>P&amp;L SC120</t>
  </si>
  <si>
    <t>אופציית Put 150 עולה 80 ש״ח. אופציית Put 100 עולה 45 ש״ח.</t>
  </si>
  <si>
    <t>רווח / הפסד גם בגרף כולל נק׳ חיתוך עם הצירים וערכי קיצון.</t>
  </si>
  <si>
    <t>נדרש: בנו אסטרטגיית מרווח יורד והדגימו בטווח מחירי סגירה שבין 40 ל-180 במרווחים של 10. בנוסף, הציגו</t>
  </si>
  <si>
    <t>Put 70</t>
  </si>
  <si>
    <t>Put 120</t>
  </si>
  <si>
    <t>עלות</t>
  </si>
  <si>
    <t>בשוק ההון נסחרות האופציות הבאות על מניה מסוימת:</t>
  </si>
  <si>
    <t>נדרש: בנו אסטרטגיית מרווח יורד והדגימו בטווח מחירי סגירה שבין 40 ל-140 במרווחים של 10. בנוסף, הציגו</t>
  </si>
  <si>
    <t>כיצד היה מוגדר הרווח / ההפסד?</t>
  </si>
  <si>
    <t>CF Long C30</t>
  </si>
  <si>
    <t>P&amp;L LC30</t>
  </si>
  <si>
    <t>א. אם הייתי מבקש מכם להציג גרף של אופציית Call 30 (מצד הקונה). כיצד היה מוצג התזרים בפקיעה בגרף?</t>
  </si>
  <si>
    <t>ב. אם הייתי מבקש מכם להציג גרף של כתיבת Call 50 (מצד הכותב). כיצד היה מוצג התזרים בפקיעה בגרף והרווח</t>
  </si>
  <si>
    <t>או ההפסד?</t>
  </si>
  <si>
    <t>LC 30 (א)</t>
  </si>
  <si>
    <t>SC 50 (ב)</t>
  </si>
  <si>
    <t>CF SC50</t>
  </si>
  <si>
    <t>P&amp;L SC50</t>
  </si>
  <si>
    <t>ג. כיצד היה מתבטא גרפית, עקרונית, שילוב האופציות לעיל? יש להתחיל מהתזרים בפקיעה.</t>
  </si>
  <si>
    <t>CF strategy</t>
  </si>
  <si>
    <t>לגבי התזרים בפקיעה CF:</t>
  </si>
  <si>
    <r>
      <t>עד וכולל מחיר 30. (</t>
    </r>
    <r>
      <rPr>
        <sz val="12"/>
        <color rgb="FF00B050"/>
        <rFont val="David"/>
      </rPr>
      <t>החלק הירוק</t>
    </r>
    <r>
      <rPr>
        <sz val="12"/>
        <color theme="1"/>
        <rFont val="David"/>
      </rPr>
      <t>).</t>
    </r>
  </si>
  <si>
    <t>אופציית C50 שכתבנו מניבה תזרים שלילי. השפעה צולבת זו מובילה לאיפוס השינויים בתזרים, על כל עליה</t>
  </si>
  <si>
    <t>במחיר המניה מעל 50 (חלק כתום).</t>
  </si>
  <si>
    <r>
      <t xml:space="preserve">ידוע </t>
    </r>
    <r>
      <rPr>
        <b/>
        <sz val="12"/>
        <color theme="1"/>
        <rFont val="David"/>
      </rPr>
      <t>שעד למחיר מניה st של 30</t>
    </r>
    <r>
      <rPr>
        <sz val="12"/>
        <color theme="1"/>
        <rFont val="David"/>
      </rPr>
      <t>, התזרים משתי האופציות 0. לכן גרף ה - CF המשולב הוא ב-0 (מתלכד עם הציר האופקי)</t>
    </r>
  </si>
  <si>
    <r>
      <rPr>
        <b/>
        <sz val="12"/>
        <color theme="1"/>
        <rFont val="David"/>
      </rPr>
      <t>ממחיר 30 ומעלה עד 50</t>
    </r>
    <r>
      <rPr>
        <sz val="12"/>
        <color theme="1"/>
        <rFont val="David"/>
      </rPr>
      <t>, אופציית C30 שרכשנו מניבה תזרים חיובי, שהולך וגדל עד וכולל מחיר 50 (</t>
    </r>
    <r>
      <rPr>
        <sz val="12"/>
        <color theme="0" tint="-0.499984740745262"/>
        <rFont val="David"/>
      </rPr>
      <t>חלק אפור</t>
    </r>
    <r>
      <rPr>
        <sz val="12"/>
        <color theme="1"/>
        <rFont val="David"/>
      </rPr>
      <t>).</t>
    </r>
  </si>
  <si>
    <r>
      <rPr>
        <b/>
        <sz val="12"/>
        <color theme="1"/>
        <rFont val="David"/>
      </rPr>
      <t>ממחיר 50 ומעלה</t>
    </r>
    <r>
      <rPr>
        <sz val="12"/>
        <color theme="1"/>
        <rFont val="David"/>
      </rPr>
      <t xml:space="preserve">, אמנם אופציית C30 ממשיכה להגדיל תזרים חיובי על כל עליה בשווי המניה, אך במקביל </t>
    </r>
  </si>
  <si>
    <t>ומה לגבי תרשים רווח והפסד?</t>
  </si>
  <si>
    <t>כדי לעבור מתזרים בפקיעה לרווח / הפסד יש להוסיף / לנכות את הפרמיה נטו (הפרמיה שמקבלים בעד כתיבה</t>
  </si>
  <si>
    <t xml:space="preserve">בניכוי הפרמיה המשולמת בעד קניה). </t>
  </si>
  <si>
    <t>הפרמיה נטו כאן:</t>
  </si>
  <si>
    <t>+</t>
  </si>
  <si>
    <t>כתיבת C50</t>
  </si>
  <si>
    <t>(-)</t>
  </si>
  <si>
    <t>קניית C30</t>
  </si>
  <si>
    <t>תמיד ולעולם: הפרמיה בעד אופציית Call בעלת מחיר מימוש מסוים x תהיה נמוכה מהפרמיה בעד אופציית Call</t>
  </si>
  <si>
    <t>בעלת מחיר מימוש y, ובלבד שמתקיים:</t>
  </si>
  <si>
    <t>x &gt; y</t>
  </si>
  <si>
    <t xml:space="preserve">במלים אחרות: אופציית רכש שמאפשרת לרכוש את נכס הבסיס במחיר נמוך יותר, שווה יותר. </t>
  </si>
  <si>
    <t>לכן סך הפרמיה חייבת להיות שלילית ותרשים P&amp;L של האסטרטגיה הוא מתחת לתרשים CF שלה.</t>
  </si>
  <si>
    <t>אז מה הקטע? מה תרומת האסטרטגיה המשולבת תכל׳ס?</t>
  </si>
  <si>
    <t>אמנם הרווח מוגבל (רע), אבל סך הפרמיות להתקשרות בעסקה נטו נמוך משמעותית מעלות התקשרות בעסקת</t>
  </si>
  <si>
    <t>קנייה של אסטרטגיית Call 30 עירומה.</t>
  </si>
  <si>
    <r>
      <t xml:space="preserve">חיתוך עם הצירים, ערכי מקסימום ומינימום </t>
    </r>
    <r>
      <rPr>
        <u/>
        <sz val="12"/>
        <color theme="1"/>
        <rFont val="David"/>
      </rPr>
      <t>לרווח וההפסד</t>
    </r>
    <r>
      <rPr>
        <sz val="12"/>
        <color theme="1"/>
        <rFont val="David"/>
      </rPr>
      <t>.</t>
    </r>
  </si>
  <si>
    <t>רווח מקס</t>
  </si>
  <si>
    <t>הפסד מקס</t>
  </si>
  <si>
    <t>גרף באיור ידני הדרגתי לבקשת הקהל (כמו במבחן הידני) - ראו משמאל.</t>
  </si>
  <si>
    <t>לצרכים של קיצור הטבלה, בחרתי להציג את התזרים בנפרד, ולייצר עמודה שתכלול את התזרים בפקיעה בניכוי</t>
  </si>
  <si>
    <t>הפרמיה, שהוא למעשה הרווח / ההפסד הכולל מכל אופציה. אפשר לבנות את הטבלה בצורה אחרת, למשל לכלול</t>
  </si>
  <si>
    <t>תזרים בפקיעה, עמודה לפרמיה, ואז לסכום ביחד ולקבל רווח. עניין של טעם. העיקר שדואגים להתחשב גם ברכיב</t>
  </si>
  <si>
    <t xml:space="preserve">התזרימי וגם ברכיב הפרמיה ששולמה או נתקבלה. הסדר או רמת הפיצול פחות חשובה לי אישית בהקשר זה כל </t>
  </si>
  <si>
    <t xml:space="preserve">עוד המנגנון והרכיבים ברורים. </t>
  </si>
  <si>
    <t>גרף:</t>
  </si>
  <si>
    <t>נק׳ מקסימום 20</t>
  </si>
  <si>
    <t>נק׳ מינימום 30-</t>
  </si>
  <si>
    <t>נק׳ חיתוך עם אנכי: 30-</t>
  </si>
  <si>
    <t>נק׳ חיתוך עם אופקי: 100</t>
  </si>
  <si>
    <t>בשוק ההון נסחרות האופציות הבאות על מניה מסוימת, שמחיר השוק שלה היום הוא 90 ש״ח:</t>
  </si>
  <si>
    <t xml:space="preserve">נדרש: בנו אסטרטגיית מרווח עולה, הציגו רווח / הפסד בטבלה בטווח מחירי הסגירה של 50-180, והציגו גרף של </t>
  </si>
  <si>
    <t>CF LCL70</t>
  </si>
  <si>
    <t>CF SCL120</t>
  </si>
  <si>
    <t>P&amp;L LCL70</t>
  </si>
  <si>
    <t>P&amp;L SCL120</t>
  </si>
  <si>
    <t>תרגיל 24 - מרווח עולה - לתרגול עצמי בבית - לא להגשה - מצורף פתרון</t>
  </si>
  <si>
    <t>נק׳ חיתוך עם ציר אנכי: 15-</t>
  </si>
  <si>
    <t>נק׳ חתוך עם ציר אופקי: 85</t>
  </si>
  <si>
    <t>מינימום: 15-</t>
  </si>
  <si>
    <t>מקסימום: 35</t>
  </si>
  <si>
    <t>לגבי נקודות הגרף:</t>
  </si>
  <si>
    <t>תרגיל 25 - תיאוריה / הבנה - לתרגול עצמי בבית - לא להגשה - מצורף פתרון</t>
  </si>
  <si>
    <t>משה טוען כי השקעה באופציית Call בהגדרה מתאימה יותר למשקיע שצופה עליה במחיר המניה, מאשר אסטרטגיית</t>
  </si>
  <si>
    <t xml:space="preserve">מרווח עולה. משה הוסיף ונימק זאת בעובדה שהרווח האפשרי מעליית שערים פוטנציאלית במרווח עולה מוגבל, מה </t>
  </si>
  <si>
    <t>שהופך אסטרטגיה זו לנחותה בהגדרה.</t>
  </si>
  <si>
    <t xml:space="preserve">נדרש: התייחסו בהרחבה לטענתו של משה על רכיביה לפי הנלמד. </t>
  </si>
  <si>
    <t>משה טועה כמובן. אמנם, הן קניית Call עירומה והן שימוש באסטרטגיית מרווח עולה מאפשרת יצירת רווח בתרחיש</t>
  </si>
  <si>
    <t>של עלייה במחיר המניה; אלא שאסטרטגיה עירומה כאמור כרוכה בהגדרה בתשלום פרמיה נטו גבוהה יותר, לאור</t>
  </si>
  <si>
    <t>היעדר קיזוז בסימן חיובי של הפרמיה המתקבלת בעד האופציה הנגדית הנכתבת במקרה של מרווח עולה. כך, שלצד</t>
  </si>
  <si>
    <t>הגבלת הרווח שאכן מתרחשת במקרה של אסטרטגיית מרווח עולה, לא נוכל להתעלם מהעובדה שההפסד הפוטנציאלי</t>
  </si>
  <si>
    <t xml:space="preserve">קטן, ואף עשוי להיות קטן משמעותית (הדבר תלוי במרווח בין ערכי האופציות וצפי העלייה שחוזה המשקיע). </t>
  </si>
  <si>
    <t>תרגיל 26 - תיאוריה / הבנה - לתרגול עצמי בבית - לא להגשה - מצורף פתרון</t>
  </si>
  <si>
    <t>נדרש: מי מהם צודק, אם בכלל? התייחסו לציפיות המשקיעים והמשמעות הכלכלית של האסטרטגיה בכללותה, יתירה</t>
  </si>
  <si>
    <t>על ניתוח טכני של רכיבי כל פוזיציה.</t>
  </si>
  <si>
    <t>יחסית של שווי נכס הבסיס, אך בסופו של יום, זוהי אסטרטגיה שבה הרווחים ייצמחו בתרחיש של שוק תנודתי, והדמיון</t>
  </si>
  <si>
    <t>לשוקת במקרה זה גבוה, שכן למרות ששוקת מורכבת מאופציות במחירי מימוש שונים מה שיוצר תזרים חיובי ובהמשך</t>
  </si>
  <si>
    <t>רווח רק בהינתן שינוי משמעותי וקיצוני יותר בשער נכס הבסיס, עדיין מדובר בעולם הציפיות של שוק תנודתי בשני</t>
  </si>
  <si>
    <t xml:space="preserve">המקרים. </t>
  </si>
  <si>
    <t>פאוציליו טועה ובענק. אסטרטגיית פרפר, ובפרט קניית פרפר עליה דיברנו עד כה, מתאימה למשקיע שצופה שוק יציב</t>
  </si>
  <si>
    <t>ומעוניין להגביל את ההפסד במקרה של תנודתיות, יהיה כיוונה אשר יהא. בשונה מכך, אסטרטגיית מרווח עולה מתאימה</t>
  </si>
  <si>
    <t xml:space="preserve">למשקיע המשער כי השוק יעלה בהיקף מוגבל ומעוניין להגביל את ההפסד במקרה שבו התרחיש לא יתקיים. </t>
  </si>
  <si>
    <t>מדובר, אם כך, בסוגים שונים לחלוטין של ציפיות ברמה הכלכלית.</t>
  </si>
  <si>
    <t>כאמור, יש גם הבדל באופן בניית האסטרטגיות ורכיביהן. אלא שכאמור, הדיון כאן כפי הנדרש</t>
  </si>
  <si>
    <t>בשאלה מתמקד בצד קבלת ההחלטות הניהולי וכיוון החשיפה.</t>
  </si>
  <si>
    <t>תזכורת נוספת: כל תרגילי הבית אינם להגשה אלא מיועדים ללימוד עצמי באופן שוטף ולקראת הבחינה.</t>
  </si>
  <si>
    <t>בשוק ההון נסחרת מניה של חברה מסוימת במחיר של 80 ש״ח. לפניכם נתונים לגבי ערכי אופציות שונות בשוק זה.</t>
  </si>
  <si>
    <t xml:space="preserve">מהותיים בתפיסות הסיכון של המשקיעים, הוא צופה שבטווח הקצר שווי המניה ירד או יעלה מהותית מעבר למחיר </t>
  </si>
  <si>
    <t>זה. ציינו 2 אסטרטגיות אפשריות שעשויות להתאים למשקיע והציגו באופן סכמטי את גרף הרווח / ההפסד מכל</t>
  </si>
  <si>
    <t xml:space="preserve">אחת מהן (פרטו: אילו אופציות לרכוש / לכתוב, מהו התרשים כולל נק׳ חיתוך עם הצירים). </t>
  </si>
  <si>
    <t xml:space="preserve">    פאוציליו טוען שקיימים קווי דמיון רבים בין אסטרטגיית פרפר לאסטרטגיית מרווח עולה.</t>
  </si>
  <si>
    <t xml:space="preserve">    דונקי טוען שקיימים קווי דמיון רבים בין אסטרטגיית אוכף לאסטרטגית שוקת. </t>
  </si>
  <si>
    <t xml:space="preserve">דונקי צודק. אמנם, אסטרטגיית אוכף שונה מאסטרטגיית שוקת במובן זה שהפרמיות המשולמות (באוכף) גבוהות יותר, </t>
  </si>
  <si>
    <t>התזרים החיובי (באוכף) נובע מכל שינוי במחיר המניה, מה שמייצר פוטנציאלית (באוכף) החזר השקעה או רווחים כבר בתנודות נמוכות</t>
  </si>
  <si>
    <t>בשוק ההון נסחרות אופציות על מניית ״XPS״ שנדרש לבנות מהן אסטרטגיית מרווח יורד. להלן נתוני האופציות:</t>
  </si>
  <si>
    <t>כדי לבנות אסטרטגיית מרווח יורד: קונים put במחיר מימוש גבוה, כותבים put במחיר מימוש נמוך.</t>
  </si>
  <si>
    <t>תרגיל 27 - מרווח יורד - פתרון ע״י מרצה</t>
  </si>
  <si>
    <t>תרגיל 28 - מרווח יורד - התנסות כיתה</t>
  </si>
  <si>
    <t>נק׳ חיתוך עם ציר אנכי:</t>
  </si>
  <si>
    <t>נק׳ חיתוך עם ציר אופקי:</t>
  </si>
  <si>
    <t>הפסד מירבי: 20</t>
  </si>
  <si>
    <t>תרגיל 29 - מרווח יורד - לתרגול נוסף בבית / לקראת בחינה</t>
  </si>
  <si>
    <t>תרגיל 30 - מרווח יורד - לתרגול נוסף בבית / לקראת בחינה</t>
  </si>
  <si>
    <t>נדרש: בנו אסטרטגיית מרווח יורד והדגימו בטווח מחירי סגירה שבין 0 ל-100 במרווחים של 10. בנוסף, הציגו</t>
  </si>
  <si>
    <t>Put 85</t>
  </si>
  <si>
    <t>Put 130</t>
  </si>
  <si>
    <t>Call 85</t>
  </si>
  <si>
    <t>CF LP130</t>
  </si>
  <si>
    <t>CF SP85</t>
  </si>
  <si>
    <t>P&amp;L LP130</t>
  </si>
  <si>
    <t>P&amp;L SP85</t>
  </si>
  <si>
    <t>נדרש: בנו אסטרטגיית מרווח יורד והדגימו בטווח מחירי סגירה שבין 50 ל-150 במרווחים של 10. בנוסף, הציגו</t>
  </si>
  <si>
    <t>רווח של 25</t>
  </si>
  <si>
    <t>מחיר סגירה 100</t>
  </si>
  <si>
    <t>Call 90</t>
  </si>
  <si>
    <t>CF LP50</t>
  </si>
  <si>
    <t>CF SP30</t>
  </si>
  <si>
    <t>P&amp;L LP50</t>
  </si>
  <si>
    <t>P&amp;L SP30</t>
  </si>
  <si>
    <t>משך הבחינה:</t>
  </si>
  <si>
    <t xml:space="preserve"> 3 שעות. בפועל מדובר בהרבה מעבר לזמן שצריך.</t>
  </si>
  <si>
    <t>סוג השאלות:</t>
  </si>
  <si>
    <t>אופן ההבחנות:</t>
  </si>
  <si>
    <t>מספר השאלות:</t>
  </si>
  <si>
    <t>חמש שאלות במשקל זהה של 20 נק׳ לשאלה.</t>
  </si>
  <si>
    <t>שאלה 1</t>
  </si>
  <si>
    <t>אסטרטגיות עירומות, רציונל, סיכונים ומושגים.</t>
  </si>
  <si>
    <t>שאלה 2</t>
  </si>
  <si>
    <t>אסטרטגיות עירומות, סוגיית המכפילים וחישובים קשורים.</t>
  </si>
  <si>
    <t>שאלה 3</t>
  </si>
  <si>
    <t>אסטרטגיות משולבות מוגדרות היטב</t>
  </si>
  <si>
    <t>שאלה 4</t>
  </si>
  <si>
    <t>שאלה 5</t>
  </si>
  <si>
    <t>מבחן ידני. כמובן שלאור הביצוע הידני ניתן פרק זמן ראוי לפתרון ראו לעיל.</t>
  </si>
  <si>
    <t>חומר עזר:</t>
  </si>
  <si>
    <t>התייחסות לשאלות סטודנטיות וסטודנטים בדבר המיקוד הבסיסי והמידע לעיל:</t>
  </si>
  <si>
    <t>שעות קבלה:</t>
  </si>
  <si>
    <t>מבחנים לדוגמא:</t>
  </si>
  <si>
    <t>תרגיל 31 - אסטרטגיות בסיסיות רמת בחינה - אינטגרטיבי (מזכיר אך לא ממצה מבנה אפשרי לשאלה 4) - יחד, לאט</t>
  </si>
  <si>
    <t>א. הסבירו אילו אסטרטגיות ״עירומות״ ניתן לבנות על בסיס האופציות הנדונות, ומהן ציפיות המשקיע הבוחר</t>
  </si>
  <si>
    <t xml:space="preserve">באסטרטגיות אלו. </t>
  </si>
  <si>
    <t>ב. משה הוא משקיע הצופה שוק תנודתי. לדעתו, השווי הכלכלי של המניה צריך להיות 70 ש״ח אך לאור שינויים</t>
  </si>
  <si>
    <t>ומחשבון.</t>
  </si>
  <si>
    <t>אין כולם בהלם ומחכים לסופגניה.</t>
  </si>
  <si>
    <t>תזכורת - מהי אסטרטגיה ״עירומה״ (Naked Strategy): אסטרטגיה פשוטה, הכוללת:</t>
  </si>
  <si>
    <t>ללא השילובים שהוצגו במפגשים האחרונים.</t>
  </si>
  <si>
    <t>קניה / כתיבה;</t>
  </si>
  <si>
    <t>באופציה אחת ויחידה;</t>
  </si>
  <si>
    <t>האסטרטגיות הן:</t>
  </si>
  <si>
    <t>Long Put 70</t>
  </si>
  <si>
    <t>Short Put 70</t>
  </si>
  <si>
    <t>Long Call 70</t>
  </si>
  <si>
    <t>Long Call 120</t>
  </si>
  <si>
    <t>Short Call 70</t>
  </si>
  <si>
    <t>Long Put 120</t>
  </si>
  <si>
    <t>Short Put 120</t>
  </si>
  <si>
    <t>Short Call 120</t>
  </si>
  <si>
    <t>Long</t>
  </si>
  <si>
    <t>קנייה</t>
  </si>
  <si>
    <t>Short</t>
  </si>
  <si>
    <t>כתיבה</t>
  </si>
  <si>
    <t>חשש / ציפייה לירידת מחיר נכס בסיס מתחת ל-70</t>
  </si>
  <si>
    <r>
      <t xml:space="preserve">ציפייה שמחיר נכס הבסיס </t>
    </r>
    <r>
      <rPr>
        <b/>
        <sz val="12"/>
        <color theme="1"/>
        <rFont val="David"/>
      </rPr>
      <t>לא</t>
    </r>
    <r>
      <rPr>
        <sz val="12"/>
        <color theme="1"/>
        <rFont val="David"/>
      </rPr>
      <t xml:space="preserve"> ירד מתחת ל-70</t>
    </r>
  </si>
  <si>
    <t>חשש / ציפייה לירידת מחיר נכס בסיס מתחת ל-120</t>
  </si>
  <si>
    <r>
      <t xml:space="preserve">ציפייה שמחיר נכס הבסיס </t>
    </r>
    <r>
      <rPr>
        <b/>
        <sz val="12"/>
        <color theme="1"/>
        <rFont val="David"/>
      </rPr>
      <t>לא</t>
    </r>
    <r>
      <rPr>
        <sz val="12"/>
        <color theme="1"/>
        <rFont val="David"/>
      </rPr>
      <t xml:space="preserve"> ירד מתחת ל-120</t>
    </r>
  </si>
  <si>
    <t>ציפייה לעליית מחיר נכס הבסיס מעל 70</t>
  </si>
  <si>
    <t>ציפייה למחיר סגירה של נכס הבסיס שהנו 70 ומטה</t>
  </si>
  <si>
    <t>ציפייה לעליית מחיר נכס הבסיס מעל 120</t>
  </si>
  <si>
    <t>ציפייה למחיר סגירה של נכס הבסיס שהנו 120 ומטה</t>
  </si>
  <si>
    <t>נתונים:</t>
  </si>
  <si>
    <t>האסטרטגיות המשולבות המתאימות למשקיע הצופה תנודתיות ביחס למחיר מסוים (כאן: 70) הן כנלמד:</t>
  </si>
  <si>
    <t>אסטרטגיית אוכף - Lecture 4 וכן;</t>
  </si>
  <si>
    <t xml:space="preserve">אסטרגיית שוקת - Lecture 5. </t>
  </si>
  <si>
    <t>אסטרטגיית אוכף:</t>
  </si>
  <si>
    <t>באופן כללי אסטרטגיית אוכף מקנייה (Long) של אופציית Call אחת ואופציית Put אחת באותו מחיר מימוש.</t>
  </si>
  <si>
    <t>נשאלת השאלה: באיזה מחיר מימוש (strike, x) תירכשנה / תכתבנה אופציות אלו?</t>
  </si>
  <si>
    <t>ראשית, ברמה הטכנית: לא אדרוש שתבנו אסטרטגיות באמצעות אופציות שלא קיימות ברשימה הסגורה שנכללה בשאלה.</t>
  </si>
  <si>
    <t>כך צמצמתי את ההתלבטות:</t>
  </si>
  <si>
    <t>Long Call 70 + Long Put 70</t>
  </si>
  <si>
    <t>OR:</t>
  </si>
  <si>
    <t>Long Call 120 + Long Put 120</t>
  </si>
  <si>
    <t xml:space="preserve">בנוסף, בנתוני השאלה נאמר: המשקיע מעריך שהשווי ה״כלכלי״, בשיווי משקל, הוא 70 (למרות שהמחיר היום 80). </t>
  </si>
  <si>
    <t>צפויה מצד המשקיע תנודתיות ביחס למחיר הזה (70).</t>
  </si>
  <si>
    <t>האסטרטגיה המתאימה ראו הסבר מטה.</t>
  </si>
  <si>
    <t>נובע מ Long Put</t>
  </si>
  <si>
    <t>נובע מ Long Call</t>
  </si>
  <si>
    <t>הפסד מירבי: בגובה סכום
הפרמיות: 30 + 40 = 70-</t>
  </si>
  <si>
    <t>איך הגענו ל-140 נק׳ חיתוך עם ציר אופקי?</t>
  </si>
  <si>
    <t xml:space="preserve">ברירת המחדל (לרוב יישומנו הנלמדים) היא שהמכפיל (השיפוע) הוא 1. </t>
  </si>
  <si>
    <t>במצב כזה: אם נרצה להגדיל את הרווח מ-70- ל-0, עלינו להגדיל את ערך ה - st ב-70, כלומר מ-70 ל-140.</t>
  </si>
  <si>
    <t xml:space="preserve">ומהי נק׳ החיתוך הנוספת עם הציר האופקי (משמאל): </t>
  </si>
  <si>
    <t xml:space="preserve">השיפוע (בערך מוחלט) הוא עדיין 1. </t>
  </si>
  <si>
    <t>לכן אם נרצה להגדיל את הרווח מ-70- ל-0 בצד שמאל (בחלק העקום האדום) נרצה להקטין את מחיר</t>
  </si>
  <si>
    <t>הסגירה ב-70, מ-70 ל-0.</t>
  </si>
  <si>
    <t>כלל עזר שקבעה Dell XPS בשיעור:</t>
  </si>
  <si>
    <t>הרחבה: כמובן שקיבלנו אוכף מאד מוזר, שבו לא ניתן להרוויח</t>
  </si>
  <si>
    <t>מתרחיש ירידה, מה שמייצג עיוותים בתמחור האופציות, אבל</t>
  </si>
  <si>
    <t>לא נתייחס לכך באופן מעמיק כרגע, רק נבהיר שאכן בניית הפוזיציה</t>
  </si>
  <si>
    <t xml:space="preserve">טריקית למדי. </t>
  </si>
  <si>
    <t>פתרון</t>
  </si>
  <si>
    <t>(*)</t>
  </si>
  <si>
    <t>מחיר מימוש</t>
  </si>
  <si>
    <t>Put</t>
  </si>
  <si>
    <t>עדן קונה אופציית Call  שמחיר המימוש שלה 500 במחיר 2,000 ש״ח.</t>
  </si>
  <si>
    <t>כמו כן, היא כותבת אופציית Put שמחיר המימוש שלה 450 במחיר 1,000 ש״ח.</t>
  </si>
  <si>
    <t>לבסוף, היא קונה אופציית Put שמחיר המימוש שלה 470 במחיר 1,500 ש״ח.</t>
  </si>
  <si>
    <t>כל האופציות הן על מדד ת״א 35.</t>
  </si>
  <si>
    <t xml:space="preserve">נדרש:  </t>
  </si>
  <si>
    <t>א. מהו הרווח / ההפסד בטווח מחירי סגירה שבין 400 ל-600 במרווחים של 20?</t>
  </si>
  <si>
    <t>תרגיל 37 - הפסד מקסימלי בשילובים (שודרג כדי להתאים יותר לרמת בחינה)</t>
  </si>
  <si>
    <t>ב. מהו הרווח המקסימלי?</t>
  </si>
  <si>
    <t>ג. מהו ההפסד המקסימלי?</t>
  </si>
  <si>
    <t>ד. הציגו תרשים של רווח / הפסד מהאסטרטגיה.</t>
  </si>
  <si>
    <t>ה. מהן ציפיות המשקיע?</t>
  </si>
  <si>
    <t>רמה 3</t>
  </si>
  <si>
    <t>רמה 4</t>
  </si>
  <si>
    <t>אלון מחזיק בתיק מניות הכולל בעיקר את מניות מדד ת״א 35. הוא מעוניין להמנע ממכירת התיק, כדי לא לפספס</t>
  </si>
  <si>
    <t>הזדמנויות עליה בשוק ההון, אך במקביל מעוניין להגן על עצמו מפני ירידה בשווי התיק.</t>
  </si>
  <si>
    <t xml:space="preserve">אלון מאמין שככל שתחול ירידה בשווקים, היא תהיה מוגבלת. </t>
  </si>
  <si>
    <t>בשוק ההון נסחרות האופציות הבאות על המדד:</t>
  </si>
  <si>
    <t>Put 1750</t>
  </si>
  <si>
    <t>Put 1820</t>
  </si>
  <si>
    <t>ידוע כי המכפיל = 100. מדד המניות במועד העסקה: 1820.</t>
  </si>
  <si>
    <t>Call 1820</t>
  </si>
  <si>
    <t>Call 1750</t>
  </si>
  <si>
    <t>נדרש:</t>
  </si>
  <si>
    <t>א. מהי האסטרטגיה המתאימה למשקיע ומהם הנגזרים הבונים אותה? הסבירו.</t>
  </si>
  <si>
    <t>ב. הציגו את התרשים המתאר את הרווח / ההפסד מהאסטרטגיה. הקפידו לציין רווח מקסימלי והפסד מקסימלי.</t>
  </si>
  <si>
    <t>ג. הציגו אסטרטגיה חלופית העושה שימוש במכשיר פיננסי אחד בלבד. מהם היתרונות והחסרונות של אסטרגיה</t>
  </si>
  <si>
    <t>זו ביחס לזו שאותה שוקל אלון לבצע?</t>
  </si>
  <si>
    <t>רמה 1</t>
  </si>
  <si>
    <t>משקיע שוקל לרכוש אופציית Call על נכס בסיס שכבר קיים ברשותו.</t>
  </si>
  <si>
    <t>ב. מה עשוי להיות התמריץ למשקיע?</t>
  </si>
  <si>
    <t>הערה: בבחינה בהחלט יכולה להיות גם שאלה כמותית שדורשת רווח / הפסד מהאופציה עם נתונים</t>
  </si>
  <si>
    <t>מספריים.</t>
  </si>
  <si>
    <t>רמה 2</t>
  </si>
  <si>
    <t>דונקי כתב אופציית Call על מדד ת״א 35 שמחיר המימוש שלה 1750 תמורת 2,000 ש״ח וכן כתב אופציית Put עם</t>
  </si>
  <si>
    <t xml:space="preserve">תאריך מימוש זהה ומחיר מימוש של 1,750 תמורת 800 ש״ח. </t>
  </si>
  <si>
    <t>א. מהו הרווח / ההפסד למשקיע אם ידוע שביום הפקיעה המדד הוא 1760?</t>
  </si>
  <si>
    <t>ב. מהו הרווח / ההפסד למשקיע אם ידוע שביום הפקיעה המדד הוא 1,710?</t>
  </si>
  <si>
    <t>ג. מהן ציפיות המשקיע?</t>
  </si>
  <si>
    <t xml:space="preserve">להגן על עצמו מפני ירידה בשווי התיק שתנבע מירידה בלתי צפויה בשווי נכס הבסיס. בנוסף, הטענה היא שמטרת </t>
  </si>
  <si>
    <t>עסקת הנגזר היא להגן מפני ירידה מוגבלת שכזו. בהתאם, המקרה המתאים ביותר לאסטרטגיה בה יש לנקוט היא</t>
  </si>
  <si>
    <r>
      <rPr>
        <b/>
        <sz val="12"/>
        <color theme="1"/>
        <rFont val="David"/>
      </rPr>
      <t>א.</t>
    </r>
    <r>
      <rPr>
        <sz val="12"/>
        <color theme="1"/>
        <rFont val="David"/>
      </rPr>
      <t xml:space="preserve"> המטרה היא ניצול הזדמנויות עליה על פי נכס הבסיס שברשותו, אבל במקביל (וזו למעשה המטרה של עסקת הנגזר) </t>
    </r>
  </si>
  <si>
    <t>אסטרטגיית מרווח יורד Bear Spread. ראו מפגש 7 להרחבה. בונים אותה עם קניית Put גבוה וכתיבת Put נמוך.</t>
  </si>
  <si>
    <t>כאשר ״נמוך״ ו״גבוה״ מתייחס למחיר המימוש באופציה (x) כמובן. הרציונל הוא שכבר בירידה קטנה הPut שקנינו</t>
  </si>
  <si>
    <t>יתחיל לייצר תזרים חיובי, והקיזוז עם הPut שכתבתנו יתחיל רק אם תהיה ירידה מאד משמעותית שאנחנו לא צופים</t>
  </si>
  <si>
    <t xml:space="preserve">שתתרחש. הפרמיה המצרפית נמוכה משמעותית מאשר קניית Put עירומה, ועוד על כך בהמשך. </t>
  </si>
  <si>
    <t>על Put 1750 שכותבים 100, כך שמפסידים במקסימום 200 שזהו ההפרש. לגבי הרווח המקסימלי, הדרך הקלה ביותר</t>
  </si>
  <si>
    <t>לחשב אותו היא להציב מחיר שוק (st) שהוא אפס. הרי רואים לפי צורת התרשים (ראו שיעור 7) שהרווח מירבי במחירים</t>
  </si>
  <si>
    <t>הנמוכים והוא ״מתיישר״ או ״מתקבע״ ולכן הדרך הקלה ביותר להגיע אליו היא דווקא ע״י הצבת st=0 (לא חובה, אבל</t>
  </si>
  <si>
    <t xml:space="preserve">טריק נחמד). </t>
  </si>
  <si>
    <t>הואיל והמכפיל 100, הרווח המקסימלי יהיה:</t>
  </si>
  <si>
    <t>רכיב Long Put 1820</t>
  </si>
  <si>
    <t xml:space="preserve">(1820 - 0) * 100 - 300 = </t>
  </si>
  <si>
    <t>רכיב Short Put 1750</t>
  </si>
  <si>
    <t xml:space="preserve">-((1750 - 0) * 100 - 100) = </t>
  </si>
  <si>
    <t>רווח מקסימלי נטו</t>
  </si>
  <si>
    <r>
      <rPr>
        <b/>
        <sz val="12"/>
        <color theme="1"/>
        <rFont val="David"/>
      </rPr>
      <t>ב.</t>
    </r>
    <r>
      <rPr>
        <sz val="12"/>
        <color theme="1"/>
        <rFont val="David"/>
      </rPr>
      <t xml:space="preserve"> ההפסד המקסימלי מאסטרטגיית מרווח יורד הוא הפרשי הפרמיות: משלמים על Put 1820 סכום של 300, מקבלים</t>
    </r>
  </si>
  <si>
    <t>פרמיות הנובע מהתקבול מכתיבת Put מקבילה שמתבצע בקניית מרווח יורד. כלומר שימוש במכשיר פיננסי אחד ויחיד כזה,</t>
  </si>
  <si>
    <t>נוח ככל שיהיה, לא מתגבר על בעיית הפרמיה הגבוהה (והלא מוצדקת בהתאם לציפיות המשקיע) שבבביסוסה. מכאן</t>
  </si>
  <si>
    <t>הצדקת המרווח היורד.</t>
  </si>
  <si>
    <r>
      <rPr>
        <b/>
        <sz val="12"/>
        <color theme="1"/>
        <rFont val="David"/>
      </rPr>
      <t>ג</t>
    </r>
    <r>
      <rPr>
        <sz val="12"/>
        <color theme="1"/>
        <rFont val="David"/>
      </rPr>
      <t>. אסטרטגיה מקבילה היא כמובן קניית Put כדי להגן מירידה. אלא שעלות ה - Put לבדה גבוהה משמעותית בהיעדר קיזוז</t>
    </r>
  </si>
  <si>
    <t>אם לא דרשתי נקודות חיתוך אין שום צורך בהצגתן.</t>
  </si>
  <si>
    <t>שימו לב. דרשתי תרשים עם רווח והפסד מקסימלי - וכך בוצע.</t>
  </si>
  <si>
    <t xml:space="preserve">א. </t>
  </si>
  <si>
    <t>רווח/הפסד מאופציית Call שכתב:</t>
  </si>
  <si>
    <t>רווח/הפסד מאופציית Put שכתב:</t>
  </si>
  <si>
    <t>ב.</t>
  </si>
  <si>
    <t>סה״כ רווח מהאסטרטגיה במחיר שוק 1760:</t>
  </si>
  <si>
    <t>אין מימוש מרוויחים כל הפרמיה</t>
  </si>
  <si>
    <t>סה״כ הפסד מהאסטרטגיה במחיר שוק 1710:</t>
  </si>
  <si>
    <t xml:space="preserve">ג. </t>
  </si>
  <si>
    <t>המשקיע כתב שתי אופציות על אותו מחיר מימוש; התרחיש הטוב ביותר מבחינתו שמניב רווח מירבי הוא</t>
  </si>
  <si>
    <t xml:space="preserve">תרחיש שבו מחיר השוק בפקיעה יישאר בדיוק 1750 ושתי האופציות לא תמומשנה (רווח 2,800). </t>
  </si>
  <si>
    <t>בהתאם, המשקיע צופה שוק יציב, ואף יציב מאד, והוא למעשה כותב אוכף - וציפיותיו הפוכות מאלו</t>
  </si>
  <si>
    <t>של קונה אוכף זה. כמובן שהמשקיע חושף את עצמו לסיכון גבוה מאד שעשוי להתרחש אם מחיר נכס</t>
  </si>
  <si>
    <t xml:space="preserve">הבסיס ישתנה משמעותית. </t>
  </si>
  <si>
    <t>להקטין רווח ב-7,000</t>
  </si>
  <si>
    <t>אומר</t>
  </si>
  <si>
    <t>להגדיל שער ב-70</t>
  </si>
  <si>
    <t>להקטין רווח ב-6,800</t>
  </si>
  <si>
    <t>להגדיל שער ב-68</t>
  </si>
  <si>
    <t>שער הבסיס: 1750</t>
  </si>
  <si>
    <t>נק׳ חיתוך:</t>
  </si>
  <si>
    <t>לעבדכם הנאמן פונים דרך: shay.tsaban@gmail.com ואם קשה 050-6551519.</t>
  </si>
  <si>
    <t>את פרטי המתרגל נעלה בהמשך.</t>
  </si>
  <si>
    <t>נא לציין בכל פנייה את שם הקורס.</t>
  </si>
  <si>
    <t>ביניהם שמורן תשלם היום בעד הזכות לרכוש את המחשב 400 ש״ח, ובתמורה שי ימתין חודשיים ולא ימכור את המחשב במהלך חודשיים</t>
  </si>
  <si>
    <t>למעשה במקרה זה אפשר לומר שהצדדים התקשרו בעסקת אופציה (אופציית Call - אופציית רכש / זכות לרכוש) לגבי המחשב.</t>
  </si>
  <si>
    <t>הסכם האופציה בין שני הצדדים. [בדוגמת הבסיס לעיל: שי ומורן עורכים הסכם לגבי זכות לקניית המחשב ע״י מורן]</t>
  </si>
  <si>
    <t>בעל הזכות באופציה [הצד ששילם בעד האופציה / קנה את אופציה]. נקרא גם רוכש האופציה (option buyer) או המחזיק באופציה (option holder) ולעתים</t>
  </si>
  <si>
    <r>
      <t xml:space="preserve">מסומן באמצעות הסימון המקדים </t>
    </r>
    <r>
      <rPr>
        <b/>
        <sz val="12"/>
        <color theme="1"/>
        <rFont val="David"/>
      </rPr>
      <t xml:space="preserve">long </t>
    </r>
    <r>
      <rPr>
        <sz val="12"/>
        <color theme="1"/>
        <rFont val="David"/>
      </rPr>
      <t xml:space="preserve">[בדוגמת הבסיס לעיל: מורן היא בעלת הזכות לקניית המחשב, היא רכשה את האופציה] </t>
    </r>
  </si>
  <si>
    <t>הנכס שבגינו מבוצעת עסקת האופציה [בדוגמת הבסיס: הMacbook של שי].</t>
  </si>
  <si>
    <t>במקרה שלנו, מורן שילמה 400 ש״ח לשי עבור הזכות לרכוש ממנו מחשב [עלות האופציה]. כאשר השלמת עסקת הרכישה מותנית</t>
  </si>
  <si>
    <t>בתשלום 2,600 ש״ח נוספים מצידה [סכום זה, 2,600 נקרא תוספת מימוש / strike]..</t>
  </si>
  <si>
    <t>מה שמשלמים</t>
  </si>
  <si>
    <t>בעד האופציה עצמה:</t>
  </si>
  <si>
    <t>עלות האופציה / פרמיה</t>
  </si>
  <si>
    <t xml:space="preserve">מה שמשלמים כדי </t>
  </si>
  <si>
    <t>לממש את האופציה:</t>
  </si>
  <si>
    <t>strike</t>
  </si>
  <si>
    <t>לאחר המועד הנ״ל לא ניתן לממש את האופציה ובהתאם ערכה מתאפס. נקרא גם Options Term / Duration. יש שני סוגי אופציות בהקשר זה - מבחינת</t>
  </si>
  <si>
    <t>במקרה שלנו, מורן יכולה לממש את האופציה בתוך טווח של חודשיים ממועד חתימת ההסכם. הואיל ובמקרה הספציפי מורן יכולה לממש בתוך</t>
  </si>
  <si>
    <t>החלון ולא רק במועד סיומו, מדובר באופציה אמריקאית.</t>
  </si>
  <si>
    <t>מורן רכשה זכות משי לרכוש מחשב</t>
  </si>
  <si>
    <t>הסכום שמורן תצטרך להוסיף כדי להשלים את העסקה</t>
  </si>
  <si>
    <t>בעד הזכות שילמה 400 ש״ח במועד ההתקשרות.</t>
  </si>
  <si>
    <t>הגדרות נוספות - הצד הנגדי לעסקה (שי) - הצד ש״מעניק״ את הזכות ומקבל כסף (פרמיה) בתמורה</t>
  </si>
  <si>
    <t>כותב האופציה:</t>
  </si>
  <si>
    <t>הצד שמעניק את הזכות, ובתמורה מקבל ״היום״ פרמיה.</t>
  </si>
  <si>
    <t>קונה האופציה:</t>
  </si>
  <si>
    <t>הצד שרוכש את הזכות, ובתמורה משלם ״היום״ פרמיה.</t>
  </si>
  <si>
    <t>השלמת העסקה:</t>
  </si>
  <si>
    <t xml:space="preserve">הצד שרכש את הזכות משלם סכום נוסף - תוספת מימוש / strike. </t>
  </si>
  <si>
    <t>סיכום ביניים קצר למושגים הבסיסיים ביותר:</t>
  </si>
  <si>
    <t>בשביל מה ״כל הבלגן״? המוטיבציה לקיום אופציות ברמה הבסיסית</t>
  </si>
  <si>
    <t>אפשר לחלק את התועלות הנובעות מקיום אופציות / התקשרות בעסקאות אופציה לשני חלקים:</t>
  </si>
  <si>
    <r>
      <rPr>
        <b/>
        <sz val="12"/>
        <color theme="1"/>
        <rFont val="David"/>
      </rPr>
      <t>בצד הספקולטיבי</t>
    </r>
    <r>
      <rPr>
        <sz val="12"/>
        <color theme="1"/>
        <rFont val="David"/>
      </rPr>
      <t>: כפי שנציג ונדגים בהמשך, השקעה באופציות / בתיק אופציות מאפשרת יצירת חשיפה לנכסי בסיס</t>
    </r>
  </si>
  <si>
    <r>
      <rPr>
        <b/>
        <sz val="12"/>
        <color theme="1"/>
        <rFont val="David"/>
      </rPr>
      <t>בצד הגידור</t>
    </r>
    <r>
      <rPr>
        <sz val="12"/>
        <color theme="1"/>
        <rFont val="David"/>
      </rPr>
      <t>: הצדדים לעסקה יכולים, בפורמט כזה או אחר, לקבע מחיר / רף עסקה ספציפי, שימנע מעם סיכונים, במיוחד</t>
    </r>
  </si>
  <si>
    <t>למעשה, אם משקיעים באופציה מסוג אחד - למעשה ״מהמרים״ על כך שיחול שינוי בטווח מוגדר במחיר נכס</t>
  </si>
  <si>
    <t>בטווח תאריכים מצומצם. אם זה לא קורה - הסכום ששולם בעד האופציה יורד לטמיון.</t>
  </si>
  <si>
    <t>נניח למשל שיש ברשותי תיק השקעות שמורכב כולו ממדד</t>
  </si>
  <si>
    <t>S&amp;P</t>
  </si>
  <si>
    <t>האמריקאי, בהיקף של 400,000 דולר.</t>
  </si>
  <si>
    <t>אם אני חושש מירידת שווי התיק, ואינני מעוניין למכור את התיק, אוכל להתקשר בעסקת קניית אופציה שתקנה</t>
  </si>
  <si>
    <t>לי את הזכות למכור את התיק בתמורה ל-400,000 דולר. הזכות הזו תעלה כסף; במידה והתיק יורד במידה משמעותית,</t>
  </si>
  <si>
    <t>אוכל לממש אותו בתמורה ל-400,000 דולר ואפסיד רק את עלות האופציה.</t>
  </si>
  <si>
    <r>
      <t xml:space="preserve">נדרש: הציגו את התזרים בפקיעה ואת הרווח / ההפסד של </t>
    </r>
    <r>
      <rPr>
        <b/>
        <sz val="12"/>
        <color theme="1"/>
        <rFont val="David"/>
      </rPr>
      <t>שי</t>
    </r>
    <r>
      <rPr>
        <sz val="12"/>
        <color theme="1"/>
        <rFont val="David"/>
      </rPr>
      <t>, בטווח מחירי סגירה שבין 50 דולר ל-150 דולר, במרווחים</t>
    </r>
  </si>
  <si>
    <t xml:space="preserve">שי רכש אופציית Call על מניה y. האופציה מקנה זכות לרכוש מניה אחת של y בתמורה ל-100 דולר. עלות האופציה </t>
  </si>
  <si>
    <t xml:space="preserve">שהנו מניית חברה y, בתמורה ל-100 דולר - זהו ה strike (בעברית - תוספת המימוש) שיסומן להלן באות x. </t>
  </si>
  <si>
    <r>
      <t xml:space="preserve">שימו לב, מחיר המימוש (ה - strike) הוא בהגדרה סכום שמשולם </t>
    </r>
    <r>
      <rPr>
        <b/>
        <sz val="12"/>
        <color theme="1"/>
        <rFont val="David"/>
      </rPr>
      <t>מעבר / בנוסף</t>
    </r>
    <r>
      <rPr>
        <sz val="12"/>
        <color theme="1"/>
        <rFont val="David"/>
      </rPr>
      <t xml:space="preserve"> לעלות האופציה עצמה,</t>
    </r>
  </si>
  <si>
    <t>אך זאת, אם ורק אם, יחליט שי לממש את האופציה.</t>
  </si>
  <si>
    <t>א. זאת משום שהמחיר בסך 20 דולר ששולם בעד האופציה עצמה הוא בגדר עלות שקועה - sunk cost. עלות</t>
  </si>
  <si>
    <t>באופציית Call, התנאי היחידי הוא</t>
  </si>
  <si>
    <t>שמחיר השוק יהיה גבוה ממחיר המימוש</t>
  </si>
  <si>
    <r>
      <t xml:space="preserve">כדי לדעת </t>
    </r>
    <r>
      <rPr>
        <b/>
        <sz val="12"/>
        <rFont val="David"/>
      </rPr>
      <t>אם כדאי לממש</t>
    </r>
    <r>
      <rPr>
        <sz val="12"/>
        <rFont val="David"/>
      </rPr>
      <t xml:space="preserve"> את הזכות </t>
    </r>
  </si>
  <si>
    <r>
      <t xml:space="preserve">ובמלים: אם </t>
    </r>
    <r>
      <rPr>
        <b/>
        <sz val="12"/>
        <rFont val="David"/>
      </rPr>
      <t>מחיר השוק במועד המימוש (st)</t>
    </r>
    <r>
      <rPr>
        <sz val="12"/>
        <rFont val="David"/>
      </rPr>
      <t xml:space="preserve"> </t>
    </r>
    <r>
      <rPr>
        <u/>
        <sz val="12"/>
        <rFont val="David"/>
      </rPr>
      <t>גבוה יותר</t>
    </r>
    <r>
      <rPr>
        <sz val="12"/>
        <rFont val="David"/>
      </rPr>
      <t xml:space="preserve"> </t>
    </r>
    <r>
      <rPr>
        <b/>
        <sz val="12"/>
        <rFont val="David"/>
      </rPr>
      <t>מתוספת המימוש</t>
    </r>
    <r>
      <rPr>
        <sz val="12"/>
        <rFont val="David"/>
      </rPr>
      <t xml:space="preserve"> לפי כתב האופציה (strike, המסומן כ- </t>
    </r>
    <r>
      <rPr>
        <b/>
        <sz val="12"/>
        <rFont val="David"/>
      </rPr>
      <t>x</t>
    </r>
    <r>
      <rPr>
        <sz val="12"/>
        <rFont val="David"/>
      </rPr>
      <t xml:space="preserve">). </t>
    </r>
  </si>
  <si>
    <t>כדאי</t>
  </si>
  <si>
    <t>ג. רק במקרה שבו מחיר המניה בשוק במועד המימוש גבוה מ-120.</t>
  </si>
  <si>
    <t>התנאי המצדיק מימוש באופציית Call הוא מחיר שוק גבוה ממחיר מימוש (מ-100)</t>
  </si>
  <si>
    <t>למשל: אם המחיר 90 (דוגמא לערך נמוך מ-120) לא כדאי לממש זכות לקנות ב-100</t>
  </si>
  <si>
    <r>
      <t xml:space="preserve">המחזיק באופציית </t>
    </r>
    <r>
      <rPr>
        <b/>
        <sz val="12"/>
        <rFont val="David"/>
      </rPr>
      <t>Call</t>
    </r>
    <r>
      <rPr>
        <sz val="12"/>
        <rFont val="David"/>
      </rPr>
      <t xml:space="preserve"> יממש אותה אם ורק אם:</t>
    </r>
  </si>
  <si>
    <t>סיכום ביניים - מה למדנו היום?</t>
  </si>
  <si>
    <t xml:space="preserve">הצגנו באופן בסיסי ועקרוני מאד מהן ההגדרות הבסיסיות של אופציה, ובעיקר אופציית Call. </t>
  </si>
  <si>
    <t>הגדרנו את העלות (פרמיה) של האופציה, את מחיר המימוש (strike) ואת ההשפעה של מחיר השוק על כדאיות מימוש האופציה.</t>
  </si>
  <si>
    <t xml:space="preserve">הבהרנו עקרונית את הסיבה להשקעה / לשימוש באופציות (ספקולציה / גידור), ויצרנו בסיס לחישובי רווח / הפסד </t>
  </si>
  <si>
    <t>מאופציית Call שאותם נרענן ובהם נתמקד במפגש הבא.</t>
  </si>
  <si>
    <t>רענון קצר - אופציות Call ומהותן</t>
  </si>
  <si>
    <t>אופציית Call היא מכשיר פיננסי המקנה לצד הרוכש (רוכש האופציה) זכות לקנות נכס מסוים (נכס בסיס) במחיר קבוע וידוע (strike)</t>
  </si>
  <si>
    <t xml:space="preserve">עד לתאריך מוגדר מראש. </t>
  </si>
  <si>
    <t>במידה ונרכשה אופציית Call, הרי שלצד הרוכש יהיה תמריץ לממשה כאשר מחיר נכס הבסיס בשוק גבוה יותר מהמחיר שבו ניתן</t>
  </si>
  <si>
    <t>לרכוש אותו דרך האופציה. קראנו לזה:</t>
  </si>
  <si>
    <t xml:space="preserve">כאשר: st הוא המחיר בשוק; ו-x הוא מחיר המימוש באופציה (strike). </t>
  </si>
  <si>
    <t xml:space="preserve">התרגיל עסק באופציית Call על מניה, שעלתה למשקיע 20, שמאפשרת לקנות נכס בסיס במחיר של 100 (strike). </t>
  </si>
  <si>
    <t xml:space="preserve">נבדוק כעת האם כדאי לממש ומה יהיה הרווח במימוש בהתאם למחירי הסגירה האפשריים של הנכס בשוק. </t>
  </si>
  <si>
    <t>מחיר השוק</t>
  </si>
  <si>
    <t>של המניה</t>
  </si>
  <si>
    <t>נניח שמחירי השוק האפשריים לנכס הם בין 50 ל-150. בטווח ערכים זה, הציגו רווח / הפסד במרווחים של 10 ש״ח.</t>
  </si>
  <si>
    <t>את האופציה</t>
  </si>
  <si>
    <t>לא</t>
  </si>
  <si>
    <t>תזרים במימוש</t>
  </si>
  <si>
    <t>דגשים לאיור התרשים הבסיסי:</t>
  </si>
  <si>
    <t xml:space="preserve">הציר האנכי כולל את הערך הכספי של ה- CF וכן של P&amp;L </t>
  </si>
  <si>
    <t>הציר האופקי מגדיר את מחיר השוק st</t>
  </si>
  <si>
    <t>כאשר מדובר באופציית Call פשוטה, מתחילים בתרשים CF שמתלכד עם הציר האופקי עד לנקודה שבה מגיעים ל - st=x כלומר לנקודה שבה</t>
  </si>
  <si>
    <t xml:space="preserve">הערך זהה למחיר המימוש (כאן: 100). מאותה נקודה ואילך (ימינה) העלייה בגרף לינארית. </t>
  </si>
  <si>
    <t>עוברים לתרשים P&amp;L. הדרך הקלה ביותר לאיירו היא פשוט ״להוריד״ כלפי מטה את כל גרף ה - CF בקבוע שהוא הפרמיה ששולמה בעד</t>
  </si>
  <si>
    <t xml:space="preserve">האופציה (עלות האופציה). </t>
  </si>
  <si>
    <t>שאלת קהל: מדוע בכלל צריך את ה - P&amp;L אם את המימוש קובעים לפי ה - CF?</t>
  </si>
  <si>
    <t xml:space="preserve">התשובה: ידיעת הרווח / ההפסד מספקת לי מידע על תוצאות העסקה בהתייחסות כוללת לכל רכיבי ביצועה. </t>
  </si>
  <si>
    <t xml:space="preserve">למעשה, ההשפעה הכוללת משתקפת רק ברווח והפסד, והיא עוזרת להבין האם ועד כמה האסטרטגיה היתה ״כדאית״. </t>
  </si>
  <si>
    <t>משל למה הדבר דומה? הצטרפתי למועדון לקוחות ברשת חנויות בגדים, שילמתי על החברות במועדון 1,000 ש״ח.</t>
  </si>
  <si>
    <t xml:space="preserve">הגעתי לחנות וגיליתי שדרך החברות במועדון אני יכול לחסוך 100 ש״ח (CF). האם אנצל את המועדון? כן. </t>
  </si>
  <si>
    <t>אך בראייה כוללת, כשאשב בבית ואבכה על פעולותיי, האם אסיק מסקנה חיובית בדבר כדאיות ההצטרפות? ודאי,</t>
  </si>
  <si>
    <t>ואעשה זאת בהתייחס לכך שהפסדתי מהעסקה 900 ש״ח.</t>
  </si>
  <si>
    <t>חידוד הגדרות:</t>
  </si>
  <si>
    <t>מחיר מימוש = strike = x = 60</t>
  </si>
  <si>
    <t>עלות האופציה = פרמיה = premium = 10</t>
  </si>
  <si>
    <t>חישוב CF:</t>
  </si>
  <si>
    <t>מצב 1</t>
  </si>
  <si>
    <t>st &lt; = x</t>
  </si>
  <si>
    <t>אז CF=0</t>
  </si>
  <si>
    <t>מצב 2</t>
  </si>
  <si>
    <t>CF = st - x</t>
  </si>
  <si>
    <t>חישוב p&amp;l:</t>
  </si>
  <si>
    <t>p&amp;l = CF - premium</t>
  </si>
  <si>
    <t>הכללים הבסיסיים לאיור אופציית Call פשוטה:</t>
  </si>
  <si>
    <t>גרף CF</t>
  </si>
  <si>
    <t>מתלכד עם הציר האופקי עד שמגיעים למחיר המימוש strike=x=60</t>
  </si>
  <si>
    <t>ומימין לכך - עולה לינארית</t>
  </si>
  <si>
    <t>גרף P&amp;L</t>
  </si>
  <si>
    <t>זהה לגרף ה - CF, ״משונמך״ כלפי מטה בגובה הפרמיה = 10 = premium</t>
  </si>
  <si>
    <t xml:space="preserve">הדיון שביצענו עד עכשיו התייחס לאופציה על מניה בודדת. </t>
  </si>
  <si>
    <t xml:space="preserve">במקרים רבים, מקובל לרכוש אופציות Call על מדדי מניות (מדד ת״א 35, מדד S&amp;P). </t>
  </si>
  <si>
    <t xml:space="preserve">בנוסף מקובל לרכוש גם אופציות Call על מטבע חוץ (על הדולר, על הליש״ט). </t>
  </si>
  <si>
    <t xml:space="preserve">כלומר יותר מיחידה אחת של מניה / מטבע חוץ. </t>
  </si>
  <si>
    <t xml:space="preserve">התשובה לשאלה ״כמה יחידות מנכס הבסיס מאפשרת האופציה לקנות״ נקראת ״מכפיל״. </t>
  </si>
  <si>
    <t>למשל:</t>
  </si>
  <si>
    <t>באופציות על מטבע חוץ, למשל על הדולר, כל אופציית Call שנקנה תעניק לנו זכות לרכוש 10,000 דולר במחיר קבוע.</t>
  </si>
  <si>
    <t xml:space="preserve">זאת לעומת הדוגמאות הפשוטות שהצגנו עד כה, שבהן המכפיל היה 1 (כל אופציה איפשרה לרכוש מניה אחת). </t>
  </si>
  <si>
    <t>תרגיל - חישוב ישיר של רווח / הפסד מאופציה על הדולר בהינתן המכפיל</t>
  </si>
  <si>
    <t>במועד המימוש / הפקיעה שער הדולר היה 4.5 ש״ח.</t>
  </si>
  <si>
    <t xml:space="preserve">עלות האופציה (הפרמיה) ששילם עידן לטובת הרכישה היתה 1,000 ש״ח. </t>
  </si>
  <si>
    <t>נדרש: מהו הרווח / ההפסד של עידן מהעסקה?</t>
  </si>
  <si>
    <t>שלבי העבודה:</t>
  </si>
  <si>
    <t xml:space="preserve">עידן מהדי רכש אופציית Call שקל-דולר שמחיר המימוש שלה הוא 4.37 ש״ח לדולר. </t>
  </si>
  <si>
    <t xml:space="preserve">האם כדאי לממש? מימוש יהיה כדאי אם המחיר בשוק (כאן - 4.5) גבוה ממחיר המימוש (כאן - 4.37).  </t>
  </si>
  <si>
    <t>כדאי לממש!</t>
  </si>
  <si>
    <t>התזרים במימוש במצב כזה (כשמממשים) הוא ההפרש בין המחיר בשוק (4.5) למחיר המימוש (4.37)</t>
  </si>
  <si>
    <t xml:space="preserve">4.5 - 4.37 = </t>
  </si>
  <si>
    <t xml:space="preserve">0.13 * 10,000 = </t>
  </si>
  <si>
    <t>אבל! אופציית דולר נסחרת לפי מכפיל של 10,000 ולכן התזרים במימוש (CF):</t>
  </si>
  <si>
    <t>אם ננכה מהתזרים במימוש את הפרמיה ששולמה, נקבל את הרווח / ההפסד:</t>
  </si>
  <si>
    <t>CF - premium = 1300 - 1000 = 300</t>
  </si>
  <si>
    <t>הרווח של עידן: 300 ש״ח.</t>
  </si>
  <si>
    <t>if st &lt; = x</t>
  </si>
  <si>
    <t>if st &gt; x</t>
  </si>
  <si>
    <t xml:space="preserve">st - x = </t>
  </si>
  <si>
    <t xml:space="preserve">(st - x) * 10,000 = </t>
  </si>
  <si>
    <t>נציג נוסחה מתמטית לאופציות מט״ח / מטבע חוץ FX (כגון על הדולר):</t>
  </si>
  <si>
    <t>(st - x) * 10,000 - premium=</t>
  </si>
  <si>
    <t>וכך למעשה, ניתן לאפיין מתמטית את פונקציות הרווח / ההפסד, מה ששימושי מאד כאשר ישנם מכפילים שונים ו/או</t>
  </si>
  <si>
    <t>כפי שנציג בהמשך - כאשר משלבים אסטרטגיות מאופציות שונות.</t>
  </si>
  <si>
    <t>פרמיה</t>
  </si>
  <si>
    <t>הפסד</t>
  </si>
  <si>
    <t>תזכורת: המכפיל משמעו שבגין אופציות מסוימות, המימוש מקנה יותר מיחידה אחת של נכס הבסיס.</t>
  </si>
  <si>
    <t xml:space="preserve">למשל, אופציית Call על הדולר - היא כזו שמימושה מקנה 10,000 דולר. </t>
  </si>
  <si>
    <t>השאלה:</t>
  </si>
  <si>
    <t xml:space="preserve">אם מחיר השוק של הדולר 3.9 ש״ח, והפרמיה ששולמה בעד האופציה היא 700 ש״ח. </t>
  </si>
  <si>
    <t xml:space="preserve">א. חשבו את הרווח / ההפסד במימוש / בפקיעה של אופציית Call על הדולר, שמחיר המימוש שלה 3.8 ש״ח לדולר, </t>
  </si>
  <si>
    <t xml:space="preserve">ב. בהמשך לנתוני האופציה הקודמת, מה צריך להיות שער הדולר בשוק על מנת שהרווח במימוש / בפקיעה יהיה </t>
  </si>
  <si>
    <t>בדיוק 1,000 ש״ח?</t>
  </si>
  <si>
    <t>פתרון א</t>
  </si>
  <si>
    <t>בהינתן שמחיר השוק של הדולר 3.9? התשובה חיובית. ככלל, אופציית Call כדאי לממש כאשר מחיר המימוש x נמוך</t>
  </si>
  <si>
    <t xml:space="preserve">יותר ממחיר השוק st או בקיצור: st&gt;x וכאן מתקיים תנאי זה 3.8 &lt; 3.9. </t>
  </si>
  <si>
    <t xml:space="preserve">מה הערך שנוצר כתוצאה ממימוש זה? למעשה, 10 אג׳ (0.1 ש״ח) בגין כל דולר: 0.1 = 3.8 - 3.9. </t>
  </si>
  <si>
    <t>אך הואיל והאופציה על 10,000 דולר, נכפול ערך זה ב-0.1. כך נקבל את התזרים בפקיעה: 1,000 = 10,000 * 0.1 = CF</t>
  </si>
  <si>
    <t>בנוסחה:</t>
  </si>
  <si>
    <t>P&amp;L (Call, USD) = (st - x) * 10,000 - premium</t>
  </si>
  <si>
    <t xml:space="preserve">בהצבה: </t>
  </si>
  <si>
    <t xml:space="preserve">אם ננכה מהתזרים בפקיעה את הפרמיה ההיסטורית ששולמה (700), נקבל את הרווח שהוא 300 = 700 - 1,000. </t>
  </si>
  <si>
    <t>P&amp;L (Call, USD) = (3.9 - 3.8) * 10,000 - 700 = 300</t>
  </si>
  <si>
    <t>הסבר מפורט:</t>
  </si>
  <si>
    <t xml:space="preserve">if </t>
  </si>
  <si>
    <r>
      <rPr>
        <b/>
        <sz val="12"/>
        <color theme="1"/>
        <rFont val="David"/>
      </rPr>
      <t>האם ראוי לממש אופציית Call על הדולר</t>
    </r>
    <r>
      <rPr>
        <sz val="12"/>
        <color theme="1"/>
        <rFont val="David"/>
      </rPr>
      <t>, שמאפשרת למחזיק באופציה לרכוש דולרים ב-3.8 (מחיר המימוש)</t>
    </r>
  </si>
  <si>
    <t>כלומר בהנחה שכדאי לממש</t>
  </si>
  <si>
    <t>פתרון ב</t>
  </si>
  <si>
    <t>אופן הפתרון של שאלה זו דומה מאד לקודמתה בהיבט הנוסחה, ההבדל הוא שהפעם ה -st איננו נתון, וידוע הרווח</t>
  </si>
  <si>
    <t>מהעסקה:</t>
  </si>
  <si>
    <t>מפתרון המשוואה:</t>
  </si>
  <si>
    <t xml:space="preserve">P&amp;L (Call, USD) = </t>
  </si>
  <si>
    <t>(st - 3.8) * 10,000 - 700 = 1,000</t>
  </si>
  <si>
    <t>התוצאה המתקבלת היא:</t>
  </si>
  <si>
    <t>st = 3.97</t>
  </si>
  <si>
    <t>אפשר להציב בנוסחה ולוודא שאכן מתקיים:</t>
  </si>
  <si>
    <t>(3.97 - 3.8) * 10,000 - 700 = 1,700 - 700 = 1,000</t>
  </si>
  <si>
    <t>Golden</t>
  </si>
  <si>
    <t>Brown</t>
  </si>
  <si>
    <t>עד כה, עסקנו בעיקר באופציות Call: אופציות שמקנות זכות לרכוש נכס בסיס במחיר מסוים וקבוע המוגדר מראש</t>
  </si>
  <si>
    <t xml:space="preserve">בהסכם. </t>
  </si>
  <si>
    <t xml:space="preserve">קיימות גם אופציות Put: אופציות שמקנות זכות למכור נכס בסיס במחיר מסוים וקבוע המוגדר מראש בהסכם. </t>
  </si>
  <si>
    <t xml:space="preserve">בגסות, ניתן להתייחס לאופציית Put כסוג של ״ביטוח״. </t>
  </si>
  <si>
    <t>נחשוב לרגע על ביטוח רכב: אנחנו למעשה קונים ״זכות״ שמבטיחה לנו את שווי הרכב במקרה של גניבה או תאונה</t>
  </si>
  <si>
    <t>למשל. אנחנו מגישים את הפוליסה, את התביעה, משלמים את ״מחיר המימוש״ (השתתפות עצמית) ומקבלים שיפוי</t>
  </si>
  <si>
    <t>בהתאם לגובה הנזק.</t>
  </si>
  <si>
    <t>אריאל כהן רכש אופציית Put על מניית ״נקניקי העמק״ שמחיר המימוש שלה 100 ש״ח (מכפיל = 1).</t>
  </si>
  <si>
    <t xml:space="preserve">גלית שוקרי רכשה אופציית Call על אותה המניה, שמחיר המימוש שלה 100 ש״ח (מכפיל = 1). </t>
  </si>
  <si>
    <r>
      <t>הציגו בטבלה את ה</t>
    </r>
    <r>
      <rPr>
        <b/>
        <sz val="12"/>
        <color theme="1"/>
        <rFont val="David"/>
      </rPr>
      <t xml:space="preserve">תזרים בפקיעה CF בטווח מחירי השוק שבין 40 ל-140 ש״ח, במרווחים של 10. </t>
    </r>
  </si>
  <si>
    <t>הטבלה של אריאל כהן</t>
  </si>
  <si>
    <t>הטבלה של גלית שוקרי</t>
  </si>
  <si>
    <t>Put 100</t>
  </si>
  <si>
    <t>Call 100</t>
  </si>
  <si>
    <t>התזרים הוא למעשה</t>
  </si>
  <si>
    <t>מחיר השוק בניכוי מחיר</t>
  </si>
  <si>
    <t>המימוש: st-x</t>
  </si>
  <si>
    <t>אך זאת, רק לכל מחירי</t>
  </si>
  <si>
    <t>השוק שמקיימים st&gt;x</t>
  </si>
  <si>
    <t xml:space="preserve">בכל מקרה אחר, </t>
  </si>
  <si>
    <t>התזרים 0</t>
  </si>
  <si>
    <t>כי לא מממשים את האופציה.</t>
  </si>
  <si>
    <t xml:space="preserve">תזרים בהגדרה מתעלם </t>
  </si>
  <si>
    <t>מהפרמיה. הפרמיה</t>
  </si>
  <si>
    <t>מובאת בחשבון רק ברווח</t>
  </si>
  <si>
    <t>והפסד לגביו לא נשאלתי.</t>
  </si>
  <si>
    <t>התזרים מאופציית ה - put</t>
  </si>
  <si>
    <t>הוא למעשה מחיר המימוש</t>
  </si>
  <si>
    <t>בניכוי מחיר השוק</t>
  </si>
  <si>
    <t xml:space="preserve">אך זאת, רק לכל מחירי </t>
  </si>
  <si>
    <t>השוק שמקיימים x&gt;st</t>
  </si>
  <si>
    <t>בכל מקרה אחר, התזרים 0</t>
  </si>
  <si>
    <t>כי לא מממשים את האופציה</t>
  </si>
  <si>
    <t xml:space="preserve">אלפרדו אנגולו רכש אופציית Put על מניית ״צבאנים״ אשר מחיר המימוש שלה 500 ש״ח (מכפיל = 1). </t>
  </si>
  <si>
    <t>א. מהו הרווח / ההפסד מהאופציה, אם מחיר המניה בשוק (st) הוא 800 ש״ח?</t>
  </si>
  <si>
    <t>ב. מהו הרווח / ההפסד מהאופציה, אם מחיר המניה בשוק הוא 200 ש״ח?</t>
  </si>
  <si>
    <t xml:space="preserve">עלות האופציה (הפרמיה) הסתכמה ב-150 ש״ח. </t>
  </si>
  <si>
    <t xml:space="preserve">אופציית Put היא זכות למכור במחיר מסוים וקבוע. כאן - אלפרדו יכול למכור מניה ב-500, אך בשוק - מחירה 800. </t>
  </si>
  <si>
    <t xml:space="preserve">האם הוא יממש מכירה ב-500 אם בשוק המניה שווה 800? התשובה שלילית. </t>
  </si>
  <si>
    <t xml:space="preserve">ברמה טכנית, אמרנו: תנאי המימוש של אופציית put הוא שמחיר השוק נמוך ממחיר המימוש x&gt;st. </t>
  </si>
  <si>
    <t xml:space="preserve">כשאין מימוש - רוכש האופציה מפסיד את כל הפרמיה. </t>
  </si>
  <si>
    <t xml:space="preserve">אלפרדו יכול למכור מניה ב-500, ובשוק - מחירה 200. </t>
  </si>
  <si>
    <t>האם הוא יממש זכות למכור ב-500 אם בשוק המניה שווה 200? התשובה חיובית.</t>
  </si>
  <si>
    <t xml:space="preserve">ברמה הטכנית: מחיר השוק כאן אכן נמוך ממחיר המימוש, כדאי לממש: x&gt;st. </t>
  </si>
  <si>
    <t>P&amp;L(Put) = (x - st) - premium</t>
  </si>
  <si>
    <t>P&amp;L(Put) = (500 - 200) - 150 = 150</t>
  </si>
  <si>
    <t>if x&gt;st</t>
  </si>
  <si>
    <t>פתרון ג</t>
  </si>
  <si>
    <t>(500 - st) - 150 = 80</t>
  </si>
  <si>
    <t>st = 270</t>
  </si>
  <si>
    <t>ג. מה צריח להיות מחיר השוק על מנת שהרווח מהאופציה יהיה 80 ש״ח?</t>
  </si>
  <si>
    <t>תרגיל 1 - הבסיס למכפילים (שיעורי בית לא להגשה)</t>
  </si>
  <si>
    <t>תרגיל 2 - קניית אופציות על מט״ח בטבלה (שיעורי בית לאחר המפגש לא להגשה)</t>
  </si>
  <si>
    <t>תרגיל 3 - אופציות Put בסיסיות (לבית)</t>
  </si>
  <si>
    <t>חברת ״חזיזי העיר״ בע״מ רכישה כחלק מתיק הנוסטרו שלה אופציות Put על מניית ״שייקונים״ בע״מ, וזאת מתוך</t>
  </si>
  <si>
    <t>האמונה שמחירה של המניה (של שייקונים) צפוי לרדת בקרוב.</t>
  </si>
  <si>
    <t>האופציה היא בעלת מכפיל של 100, נרכשה בעלות (פרמיה) של 500 ש״ח, כאשר מחיר המימוש (ה-strike) הוא 40 ש״ח.</t>
  </si>
  <si>
    <t>הציגו בטבלה את הרווח / ההפסד מהאופציה בטווח מחירי הסגירה שבין 0 ל-100 ש״ח במרווחים של 10 ש״ח.</t>
  </si>
  <si>
    <t>פתרון (הקליקו בתוך התאים כדי לראות את דרך החישוב):</t>
  </si>
  <si>
    <t>תרגיל 4 - אופציות Put בסיסיות (לבית)</t>
  </si>
  <si>
    <t xml:space="preserve">ששולמה בעד הרכישה היא 500. המכפיל הוא 100. </t>
  </si>
  <si>
    <t>רכשתם 3 אופציות של חברת ״המימוניסט הלאומי״. האופציות הן מסוג אופציית Put, מחיר המימוש 1,000 והפרמיה</t>
  </si>
  <si>
    <t>מה יהיה הרווח / ההפסד אם במועד האחרון למימוש:</t>
  </si>
  <si>
    <t xml:space="preserve">א. מחיר השוק הוא 1,500. </t>
  </si>
  <si>
    <t xml:space="preserve">ב. מחיר השוק הוא 1,000. </t>
  </si>
  <si>
    <t>ג. מחיר השוק הוא 200.</t>
  </si>
  <si>
    <t>א.</t>
  </si>
  <si>
    <t>ג.</t>
  </si>
  <si>
    <t>אז נתחיל... מההתחלה. מה משמעותה של כתיבת אופציה?</t>
  </si>
  <si>
    <t xml:space="preserve">כלל כ - long. </t>
  </si>
  <si>
    <t xml:space="preserve">למשל, אם אני מצוי בפוזיציה של long call, ככל הנראה רכשתי אופציית Call. </t>
  </si>
  <si>
    <t xml:space="preserve">ככל הנראה כתבתי אופציית Call. </t>
  </si>
  <si>
    <t>כדי שנרגיש את הדברים קצת יותר, כדאי להתחיל מלבנות שאלה בסיסית מתמטית שתראה את הרווח / ההפסד מצד הכותב</t>
  </si>
  <si>
    <t xml:space="preserve">וכן מצד הקונה עבור סוגים שונים של אופציות. </t>
  </si>
  <si>
    <t>שאלה 1 - קונה וכותב</t>
  </si>
  <si>
    <t>א. קניית Call 100</t>
  </si>
  <si>
    <t>ב. כתיבת Call 100</t>
  </si>
  <si>
    <t>ג. קניית Put 100</t>
  </si>
  <si>
    <t>ד. כתיבת Put 100</t>
  </si>
  <si>
    <t>שאלה 2 - אבל למה לכתוב בכלל?</t>
  </si>
  <si>
    <t xml:space="preserve">בעוד שקניית אופציה היא אינטואטיבית להנמקה (אם אני מעריך שהמחיר יעלה, ארכוש Call, והגנה מפני ירידה למשל יכולה </t>
  </si>
  <si>
    <t>להתקבל באמצעות קניית Put), נשאלת השאלה - מדוע בכלל שמשקיעים יסכימו לכתוב אופציה כזו ולהיות חשופים להפסדים?</t>
  </si>
  <si>
    <t xml:space="preserve">הבה נדון בכך באופן חופשי. </t>
  </si>
  <si>
    <t>שאלה 3 - אופציות שונות</t>
  </si>
  <si>
    <t xml:space="preserve">של 10 ש״ח, באופן מתמטי (בטבלה במבנה המקובל) וגרפי. זכרו, כברירת מחדל המכפיל = 1. </t>
  </si>
  <si>
    <t>תרגיל 5 - אופציות Put עם מכפילים (כולל מבוא קצר)</t>
  </si>
  <si>
    <t xml:space="preserve">תרגיל 6 - הבסיס למכפילים </t>
  </si>
  <si>
    <t>נושא חדש - אסטרטגיות ״משולבות״</t>
  </si>
  <si>
    <t>הציגו בטבלה את הרווח / ההפסד מכל אחת מהפוזיציות הבאות:</t>
  </si>
  <si>
    <t>להלן תרגילים לתרגול נוסף למעוניינים והמעוניינות.</t>
  </si>
  <si>
    <t>שאלה 8 - קונה וכותב, אופציות על הדולר</t>
  </si>
  <si>
    <t>הציגו בטבלה את הרווח / ההפסד מכל אחת מהפוזיציות הבאות, כולן אופציות שקל-דולר (מה זה אומר על המכפיל?):</t>
  </si>
  <si>
    <t xml:space="preserve">בכל המקרים, הציגו זאת עבור טווח מחירי שוק שבין 50 ל-150, והניחו לשם פשטות שהפרמיה היא 20 וכי המכפיל = 1. </t>
  </si>
  <si>
    <t xml:space="preserve">p&amp;l </t>
  </si>
  <si>
    <t>long C3.4</t>
  </si>
  <si>
    <t>short C3.5</t>
  </si>
  <si>
    <t>long P3.6</t>
  </si>
  <si>
    <t>short P3.7</t>
  </si>
  <si>
    <t>בכל המקרים, הציגו זאת עבור טווח מחירי שוק במימוש שהנו בין 3 ל-4 ש״ח, במרווחים של 10 אג׳.</t>
  </si>
  <si>
    <t xml:space="preserve">א. קניית Call 3.4. הפרמיה ששולמה: 500 ש״ח. </t>
  </si>
  <si>
    <t xml:space="preserve">ב. כתיבת Call 3.5. הפרמיה שנתקבלה: 400 ש״ח. </t>
  </si>
  <si>
    <t xml:space="preserve">ג. קניית Put 3.6. הפרמיה ששולמה: 800 ש״ח. </t>
  </si>
  <si>
    <t xml:space="preserve">ד. כתיבת Put 3.7. הפרמיה שנתקבלה: 1,000 ש״ח. </t>
  </si>
  <si>
    <t>שאלה 9 - אופציות שונות</t>
  </si>
  <si>
    <t>משקיע מסוים צריך לשלם סכום גבוה בדולרים בעתיד. מבין המכשירים הבאים / הפוזיציות הבאות, מי המתאימה ביותר?</t>
  </si>
  <si>
    <t>א. רכישת אופציות Call על הדולר.</t>
  </si>
  <si>
    <t>ב. רכישת אופציות Put על הדולר.</t>
  </si>
  <si>
    <t>ג. כתיבת אופציית Put על הדולר.</t>
  </si>
  <si>
    <t>ד. כתיבת אופציות Call על הדולר.</t>
  </si>
  <si>
    <t>רכישת אופציית רכש היא המתאימה ביותר. למשקיע בעצם תהיה זכות לקנות את הדולרים במחיר קבוע ללא תלות בשיעור</t>
  </si>
  <si>
    <t xml:space="preserve">העלייה בשער הדולר. </t>
  </si>
  <si>
    <t>רכישת אופציית Put לא מתאימה, שהרי היא מקנה זכות למכור דולרים - וכאן המטרה היא לרכוש דולרים על מנת לשלם</t>
  </si>
  <si>
    <t xml:space="preserve">באמצעותם. </t>
  </si>
  <si>
    <t>כתיבת אופציית Put לא מתאימה, משום שהיא למעשה מקנה תקבול קבוע בגובה הפרמיה ״לכל היותר״. כך שהמשקיע</t>
  </si>
  <si>
    <t xml:space="preserve">לא נהנה מהגנה מפני עליית שער הדולר. </t>
  </si>
  <si>
    <t xml:space="preserve">כתיבת אופציית Call לא מתאימה, משום שאנו מעוניינים בזכות לקנות דולרים ולא להעניק זכות זו לאחרים. </t>
  </si>
  <si>
    <t xml:space="preserve">לכן, התשובה הנכונה היא א. </t>
  </si>
  <si>
    <t>תרגיל 10 - כתיבת אופציית Call - עם גרף</t>
  </si>
  <si>
    <r>
      <t xml:space="preserve">קוקי </t>
    </r>
    <r>
      <rPr>
        <b/>
        <sz val="12"/>
        <color theme="1"/>
        <rFont val="David"/>
      </rPr>
      <t>כתב (Short)</t>
    </r>
    <r>
      <rPr>
        <sz val="12"/>
        <color theme="1"/>
        <rFont val="David"/>
      </rPr>
      <t xml:space="preserve"> אופציית רכש (Call) על מניה zzz. מחיר המימוש של האופציה הוא 200 ש״ח, והפרמיה ששולמה בעד האופציה</t>
    </r>
  </si>
  <si>
    <t>במועד הרכישה היא 15 ש״ח. הציגו תזרימים ורווח / הפסד בפקיעה בטווח מחירי סגירה של 150-250, במרווחים</t>
  </si>
  <si>
    <t>גרף חתיך:</t>
  </si>
  <si>
    <r>
      <rPr>
        <b/>
        <sz val="12"/>
        <color rgb="FF00B050"/>
        <rFont val="David"/>
      </rPr>
      <t>p&amp;l</t>
    </r>
    <r>
      <rPr>
        <sz val="12"/>
        <color theme="1"/>
        <rFont val="David"/>
      </rPr>
      <t xml:space="preserve">, </t>
    </r>
    <r>
      <rPr>
        <b/>
        <sz val="12"/>
        <color rgb="FFFF0000"/>
        <rFont val="David"/>
      </rPr>
      <t>CF</t>
    </r>
  </si>
  <si>
    <t>שי קנה אוכף על מניה qqq במחיר מימוש (strike או x) של 100 ש״ח למניה.</t>
  </si>
  <si>
    <t>Put 90</t>
  </si>
  <si>
    <t xml:space="preserve">תרגיל 11 - קניית אוכף Long Straddle </t>
  </si>
  <si>
    <t xml:space="preserve">ראשית, כשמדובר באוכף, רכישת ה - Call ורכישת ה - Put צריכה להיות באותו מחיר מימוש (באותו strike או x). </t>
  </si>
  <si>
    <t xml:space="preserve">משום כך, האופציות הרלוונטיות הן Call 100 ו - Put 100. </t>
  </si>
  <si>
    <t>הציגו בטבלה את הרווח / ההפסד מהאסטרטגיה בטווח מחירי מימוש שבין 30 ל-180 במרווחים של 10. כמו כן, הציגו תרשים</t>
  </si>
  <si>
    <t xml:space="preserve">המראה את גרף הרווח / ההפסד בכל מחיר מימוש. </t>
  </si>
  <si>
    <t>כעת נציג בטבלה את הרווח / ההפסד מכל אופציה:</t>
  </si>
  <si>
    <t>total p&amp;l</t>
  </si>
  <si>
    <t>p&amp;l long c100</t>
  </si>
  <si>
    <t>p&amp;l long p100</t>
  </si>
  <si>
    <t>תרשים:</t>
  </si>
  <si>
    <r>
      <t xml:space="preserve">אופציות מכל סוג - הן אופציות </t>
    </r>
    <r>
      <rPr>
        <b/>
        <sz val="12"/>
        <color theme="1"/>
        <rFont val="David"/>
      </rPr>
      <t>Call</t>
    </r>
    <r>
      <rPr>
        <sz val="12"/>
        <color theme="1"/>
        <rFont val="David"/>
      </rPr>
      <t xml:space="preserve"> (אופציות שמקנות זכות </t>
    </r>
    <r>
      <rPr>
        <u/>
        <sz val="12"/>
        <color theme="1"/>
        <rFont val="David"/>
      </rPr>
      <t>לרכוש</t>
    </r>
    <r>
      <rPr>
        <sz val="12"/>
        <color theme="1"/>
        <rFont val="David"/>
      </rPr>
      <t xml:space="preserve"> נכס בסיס במחיר קבוע) והן אופציות </t>
    </r>
    <r>
      <rPr>
        <b/>
        <sz val="12"/>
        <color theme="1"/>
        <rFont val="David"/>
      </rPr>
      <t>Put</t>
    </r>
    <r>
      <rPr>
        <sz val="12"/>
        <color theme="1"/>
        <rFont val="David"/>
      </rPr>
      <t xml:space="preserve"> (אופציות שמקנות זכות </t>
    </r>
    <r>
      <rPr>
        <u/>
        <sz val="12"/>
        <color theme="1"/>
        <rFont val="David"/>
      </rPr>
      <t>למכור</t>
    </r>
  </si>
  <si>
    <r>
      <t>במחיר קבוע) הן למעשה בגדר הסכם שנחתם בין שני צדדים. צד אחד הוא ה״</t>
    </r>
    <r>
      <rPr>
        <u/>
        <sz val="12"/>
        <color theme="1"/>
        <rFont val="David"/>
      </rPr>
      <t>מחזיק בזכות</t>
    </r>
    <r>
      <rPr>
        <sz val="12"/>
        <color theme="1"/>
        <rFont val="David"/>
      </rPr>
      <t>״ או ״</t>
    </r>
    <r>
      <rPr>
        <u/>
        <sz val="12"/>
        <color theme="1"/>
        <rFont val="David"/>
      </rPr>
      <t>קונה האופציה</t>
    </r>
    <r>
      <rPr>
        <sz val="12"/>
        <color theme="1"/>
        <rFont val="David"/>
      </rPr>
      <t>״. צד זה ייקרא בדרך</t>
    </r>
  </si>
  <si>
    <r>
      <t xml:space="preserve">אבל כמובן שקיים צד נגדי: זה </t>
    </r>
    <r>
      <rPr>
        <u/>
        <sz val="12"/>
        <color theme="1"/>
        <rFont val="David"/>
      </rPr>
      <t>שכתב</t>
    </r>
    <r>
      <rPr>
        <sz val="12"/>
        <color theme="1"/>
        <rFont val="David"/>
      </rPr>
      <t xml:space="preserve"> (מאד דומה ל״</t>
    </r>
    <r>
      <rPr>
        <u/>
        <sz val="12"/>
        <color theme="1"/>
        <rFont val="David"/>
      </rPr>
      <t>הנפיק</t>
    </r>
    <r>
      <rPr>
        <sz val="12"/>
        <color theme="1"/>
        <rFont val="David"/>
      </rPr>
      <t>״) את כתב האופציה. צד זה נקרא ״</t>
    </r>
    <r>
      <rPr>
        <u/>
        <sz val="12"/>
        <color theme="1"/>
        <rFont val="David"/>
      </rPr>
      <t>הכותב</t>
    </r>
    <r>
      <rPr>
        <sz val="12"/>
        <color theme="1"/>
        <rFont val="David"/>
      </rPr>
      <t xml:space="preserve">״. החשיפה שלו היא </t>
    </r>
    <r>
      <rPr>
        <u/>
        <sz val="12"/>
        <color theme="1"/>
        <rFont val="David"/>
      </rPr>
      <t>הפוכה</t>
    </r>
  </si>
  <si>
    <r>
      <t xml:space="preserve">מזו של המשקיע שקונה את האופציה, ונהוג לסמן את הפוזיציה שלו בתור </t>
    </r>
    <r>
      <rPr>
        <u/>
        <sz val="12"/>
        <color theme="1"/>
        <rFont val="David"/>
      </rPr>
      <t>short</t>
    </r>
    <r>
      <rPr>
        <sz val="12"/>
        <color theme="1"/>
        <rFont val="David"/>
      </rPr>
      <t xml:space="preserve">. למשל, אם אני מצוי בפוזיציה של short call, </t>
    </r>
  </si>
  <si>
    <t>בפקיעה</t>
  </si>
  <si>
    <t>short C100</t>
  </si>
  <si>
    <t>short P100</t>
  </si>
  <si>
    <t>א</t>
  </si>
  <si>
    <t>ב</t>
  </si>
  <si>
    <t>ג</t>
  </si>
  <si>
    <t>ד</t>
  </si>
  <si>
    <t>טכנית: רווח / הפסד עבור כותב אופציה בהגדרה זהה לרווח / הפסד קונה האופציה - עם מקדם שלילי.</t>
  </si>
  <si>
    <t>ברמה ההבנתית:</t>
  </si>
  <si>
    <t xml:space="preserve">כאשר אין מימוש של אופציית ה - Call, כותב האופציה מרוויח את כל הפרמיה. </t>
  </si>
  <si>
    <t xml:space="preserve">זה קורה עד וכולל מחיר שוק של 100 (st=x). </t>
  </si>
  <si>
    <t>כאשר יש מימוש של אופציית ה - Call, כותב האופציה מרוויח / מפסיד לפי סיכום</t>
  </si>
  <si>
    <t>הרכיבים הבאים:</t>
  </si>
  <si>
    <t xml:space="preserve">א. תקבול הפרמיה, שבכל מקרה לא מוחזר למשקיע: בסימן חיובי. </t>
  </si>
  <si>
    <t xml:space="preserve">ב. בסימן חיובי, קבלת מחיר המימוש מהצד שקנה את אופציית ה - Call. </t>
  </si>
  <si>
    <t>ג. בסימן שלילי, יש להתייחס לשווי המניה במועד המימוש - שאותה אני הכותב מוסר.</t>
  </si>
  <si>
    <t>טכנית: רווח / הפסד עבור כותב אופציה זהה לרווח / ההפסד של קונה האופציה, עם מקדם שלילי.</t>
  </si>
  <si>
    <t xml:space="preserve">כאשר אין מימוש של אופציית ה - Put, כותב האופציה מרוויח את כל הפרמיה. </t>
  </si>
  <si>
    <t xml:space="preserve">זה קורה כל עוד מחיר השוק גדול או שווה למחיר המימוש st&gt;=x. </t>
  </si>
  <si>
    <t>כאשר יש מימוש של אופציית ה - Put, כותב האופציה מרוויח /מפסיד לפי סיכום הרכיבים הבאים:</t>
  </si>
  <si>
    <t xml:space="preserve">א. תקבול הפרמיה, שבכל מקרה לא מוחזר למשקיע, בסימן חיובי. </t>
  </si>
  <si>
    <t>ב. בסימן חיובי, קבלת מחיר השוק (שווי המניה הנמסרת לכותב ה - put).</t>
  </si>
  <si>
    <t xml:space="preserve">ג. בסימן שלילי, תשלום תוספת המימוש ה - strike. </t>
  </si>
  <si>
    <t>כפי שראינו בשאלה 1, כתיבת אופציה מקנה לכותב בכל מקרה את הפרמיה.</t>
  </si>
  <si>
    <t>הכותב של האופציה עלול להתחיל להפסיד רק במידה ומחיר השוק של המניה ישתנה למחיר שמצדיק את מימוש האופציה.</t>
  </si>
  <si>
    <t>מאליו יובן, שהציפיות הבסיסיות של כותב האופציה היא שמחיר השוק לא יימצא בטווח הערכים שמצדיק את המימוש</t>
  </si>
  <si>
    <t xml:space="preserve">עד למועד הפקיעה. </t>
  </si>
  <si>
    <t>***</t>
  </si>
  <si>
    <t xml:space="preserve"> </t>
  </si>
  <si>
    <t>כל זה בהסתכלות פשטנית, נאיבית, שלא מתייחסת לכתיבת האופציה כחלק מאסטרטגיה רחבה יותר.</t>
  </si>
  <si>
    <r>
      <t xml:space="preserve">הסבר: </t>
    </r>
    <r>
      <rPr>
        <b/>
        <sz val="12"/>
        <rFont val="David"/>
      </rPr>
      <t>אופציית Put מבטיחה</t>
    </r>
    <r>
      <rPr>
        <sz val="12"/>
        <rFont val="David"/>
      </rPr>
      <t xml:space="preserve"> </t>
    </r>
    <r>
      <rPr>
        <b/>
        <sz val="12"/>
        <rFont val="David"/>
      </rPr>
      <t>מחיר מכירה / מחיר מימוש</t>
    </r>
    <r>
      <rPr>
        <sz val="12"/>
        <rFont val="David"/>
      </rPr>
      <t xml:space="preserve"> לרוכש, </t>
    </r>
    <r>
      <rPr>
        <b/>
        <sz val="12"/>
        <rFont val="David"/>
      </rPr>
      <t>גם אם השער ירד למחיר נמוך יותר</t>
    </r>
    <r>
      <rPr>
        <sz val="12"/>
        <rFont val="David"/>
      </rPr>
      <t xml:space="preserve">. </t>
    </r>
    <r>
      <rPr>
        <u/>
        <sz val="12"/>
        <rFont val="David"/>
      </rPr>
      <t>עסקת הגנה על</t>
    </r>
    <r>
      <rPr>
        <sz val="12"/>
        <rFont val="David"/>
      </rPr>
      <t xml:space="preserve"> </t>
    </r>
  </si>
  <si>
    <r>
      <rPr>
        <u/>
        <sz val="12"/>
        <rFont val="David"/>
      </rPr>
      <t>נכסי בסיס המוחזקים אצלי ב long במקרים רבים מיושמת באמצעות אופציות Put</t>
    </r>
    <r>
      <rPr>
        <sz val="12"/>
        <rFont val="David"/>
      </rPr>
      <t xml:space="preserve"> (מקרה קלאסי, גם אם לא היחיד). </t>
    </r>
  </si>
  <si>
    <t xml:space="preserve">נכונה הטענה שגם כתיבת Call שמקנה לכותב את הפרמיה, יכולה להוביל לרווח מבחינתו אם מחיר המניה לא עולה. אלא </t>
  </si>
  <si>
    <t>שרווח זה מצד כותב האופציה - מוגבל לגובה הפרמיה המתקבלת, ולכן לא מקזז / מגן בצורה מלאה על נכס הבסיס.</t>
  </si>
  <si>
    <t xml:space="preserve">לכתוב אופציה יכול לקנות לי רווח שמוגבל הוא בגובה הפרמיה המתקבלת. </t>
  </si>
  <si>
    <t xml:space="preserve">אם המטרה היא להגן / לייצר מנגנון שמשפה אותנו על כל ירידה פוטנציאלית בנכס הבסיס, כתיבה לא תשרת אותי. </t>
  </si>
  <si>
    <t>סיכום ביניים של אופציות והקשר הכתיבה</t>
  </si>
  <si>
    <t xml:space="preserve">לכל עסקת נגזר (אופציות) יש שני צדדים: </t>
  </si>
  <si>
    <t>צד הכותב - מנפיק הזכות.</t>
  </si>
  <si>
    <t>הנ״ל נכון גם לגבי עסקאות באופציית Put (זכות למכור נכס במחיר קבוע) וגם לגבי עסקאות באופציית Call (זכות לרכוש נכס</t>
  </si>
  <si>
    <t xml:space="preserve">במחיר קבוע). </t>
  </si>
  <si>
    <t>תמיד ולעולם הרווח / ההפסד של הכותב זהה לרווח / ההפסד של הקונה - בסימן הפוך, כך שלמעשה, עסקאות נגזר ברמתן</t>
  </si>
  <si>
    <t xml:space="preserve">הבסיסית הן עסקאות של ״משחק סכום אפס״. </t>
  </si>
  <si>
    <t xml:space="preserve">צד הקונה - רוכש הזכות. </t>
  </si>
  <si>
    <t>במפגש הבא - נתחיל בשילובי אופציות כחלק מאסטרטגיה רחבה יותר, ונציג את השימושים הרחבים יותר של הנדסה פיננסית</t>
  </si>
  <si>
    <t>לאורם.</t>
  </si>
  <si>
    <r>
      <t xml:space="preserve">הסבר נוסף לגבי רווח / הפסד </t>
    </r>
    <r>
      <rPr>
        <b/>
        <u/>
        <sz val="12"/>
        <color theme="1"/>
        <rFont val="David"/>
      </rPr>
      <t>מצד הכותב של אופציית הרכש -  Short C100</t>
    </r>
    <r>
      <rPr>
        <b/>
        <sz val="12"/>
        <color theme="1"/>
        <rFont val="David"/>
      </rPr>
      <t>:</t>
    </r>
  </si>
  <si>
    <r>
      <t xml:space="preserve">הסבר נוסף לגבי רווח / הפסד </t>
    </r>
    <r>
      <rPr>
        <b/>
        <u/>
        <sz val="12"/>
        <color theme="1"/>
        <rFont val="David"/>
      </rPr>
      <t>מצד הכותב של אופציית המכר - short P100</t>
    </r>
    <r>
      <rPr>
        <b/>
        <sz val="12"/>
        <color theme="1"/>
        <rFont val="David"/>
      </rPr>
      <t>:</t>
    </r>
  </si>
  <si>
    <t>פתרון (ההסברים המלאים - מטה):</t>
  </si>
  <si>
    <t>שאלה 4 - כתיבת אופציית Put - תרגול נוסף</t>
  </si>
  <si>
    <t>שאלה 5 - ציפיות משקיעים באופציות</t>
  </si>
  <si>
    <t>לאופציה אחת</t>
  </si>
  <si>
    <t>ל-3 אופציות</t>
  </si>
  <si>
    <t>שאלה 3 - קניית שוקת Long Strangle</t>
  </si>
  <si>
    <t>חזיזי קנתה שוקת על מניה במחיר מימוש (strike או x) של 30 ש״ח למניה.</t>
  </si>
  <si>
    <t>Call 20</t>
  </si>
  <si>
    <t>Call 10</t>
  </si>
  <si>
    <t>מבוא - לאסטרטגיה הבאה- ״מרווח עולה״</t>
  </si>
  <si>
    <t>אסטרטגיה ראשונה: קניית אוכף - Long Straddle - כללי</t>
  </si>
  <si>
    <r>
      <t xml:space="preserve">קונים </t>
    </r>
    <r>
      <rPr>
        <u/>
        <sz val="12"/>
        <color theme="1"/>
        <rFont val="David"/>
      </rPr>
      <t>אופציית Call</t>
    </r>
    <r>
      <rPr>
        <sz val="12"/>
        <color theme="1"/>
        <rFont val="David"/>
      </rPr>
      <t xml:space="preserve"> וגם </t>
    </r>
    <r>
      <rPr>
        <u/>
        <sz val="12"/>
        <color theme="1"/>
        <rFont val="David"/>
      </rPr>
      <t>אופציית Put</t>
    </r>
    <r>
      <rPr>
        <sz val="12"/>
        <color theme="1"/>
        <rFont val="David"/>
      </rPr>
      <t xml:space="preserve"> עם אותו מחיר מימוש (אותו strike, אותו ערך של x). </t>
    </r>
  </si>
  <si>
    <r>
      <t xml:space="preserve">לטווח ערכים ספציפי, כלומר - </t>
    </r>
    <r>
      <rPr>
        <u/>
        <sz val="12"/>
        <color theme="1"/>
        <rFont val="David"/>
      </rPr>
      <t>שוק תנודתי</t>
    </r>
    <r>
      <rPr>
        <sz val="12"/>
        <color theme="1"/>
        <rFont val="David"/>
      </rPr>
      <t xml:space="preserve">, אך איננו משוכנע לאיזה כיוון ישתנו השווקים. </t>
    </r>
  </si>
  <si>
    <r>
      <t xml:space="preserve">שי </t>
    </r>
    <r>
      <rPr>
        <b/>
        <u/>
        <sz val="12"/>
        <color theme="1"/>
        <rFont val="David"/>
      </rPr>
      <t>קנה אוכף</t>
    </r>
    <r>
      <rPr>
        <sz val="12"/>
        <color theme="1"/>
        <rFont val="David"/>
      </rPr>
      <t xml:space="preserve"> על מניה z במחיר מימוש (strike או x) של 50 ש״ח למניה.</t>
    </r>
  </si>
  <si>
    <t>שווי / מחיר / פרמיה</t>
  </si>
  <si>
    <t>תזרים C50</t>
  </si>
  <si>
    <t>רוו״ה C50</t>
  </si>
  <si>
    <t>א. הציגו תזרים בפקיעה / במימוש מהאסטרטגיה ורוו״ה, כמותית וגרפית, בטווח מחירים שבין 0 ל-100 במרווחים של 10.</t>
  </si>
  <si>
    <t>תזרים P50</t>
  </si>
  <si>
    <t>רוו״ה P50</t>
  </si>
  <si>
    <t>רוו״ה כולל</t>
  </si>
  <si>
    <t>הסבר:</t>
  </si>
  <si>
    <t>כאמור, ברמה הטכנית, בניית אסטרטגיית קניית אוכף דורשת קניה של אופציית Call וגם של אופציית Put</t>
  </si>
  <si>
    <t>כפי שניתן לראות, סך הרווח או ההפסד בכל מחיר שוק אפשרי, שמתקבל על ידי סיכום פשוט של רוו״ה מכל אופציה בנפרד</t>
  </si>
  <si>
    <t>הוא חיובי כאשר קיימת ירידה משמעותית במחיר המניה, וכן כאשר קיימת עלייה משמעותית במחיר המניה.</t>
  </si>
  <si>
    <t xml:space="preserve">במלים אחרות: כדי שיתקיים תמריץ לבנות אסטרטגיה כזו, ציפיות המשקיע צריכות להיות כאלו שתומכות בכך שמחיר </t>
  </si>
  <si>
    <t>נכס הבסיס ישתנה בקיצוניות - או למעלה או כלפי מטה.</t>
  </si>
  <si>
    <t>כמובן, שקיים סיכון משמעותי הנובע מכך שבמידה ומחיר הנכס לא ישתנה בקיצוניות - נפסיד - בהתאם לחלקים באדום,</t>
  </si>
  <si>
    <t>וזאת לאור הפרמיות הגבוהות ששולמו בעסקה.</t>
  </si>
  <si>
    <t>על אותו נכס (כאן - מניה z) ובאותו מחיר מימוש (50).</t>
  </si>
  <si>
    <t>מחיר</t>
  </si>
  <si>
    <t>השוק st</t>
  </si>
  <si>
    <t>CF Long Straddle</t>
  </si>
  <si>
    <t>גרף תזרים מקניית אוכף</t>
  </si>
  <si>
    <t>סיכום הפרמיות:</t>
  </si>
  <si>
    <t>20 + 15 = 35</t>
  </si>
  <si>
    <t>גרף רוו״ה</t>
  </si>
  <si>
    <t>כדי למצוא את נקודות החיתוך, נאתר את ערכי מחירי השוק ה״צמודים״ שבמעבר</t>
  </si>
  <si>
    <t>ביניהם הערך המספרי של רוו״ה משנה סימן.</t>
  </si>
  <si>
    <t>כעת, נזהה את השיפוע של הגרף המתבסס על ההפרשים:</t>
  </si>
  <si>
    <t>במעבר ממחיר שוק 10 למחיר שוק 20, הרוו״ה משתנה מ-5+ ל-5-.</t>
  </si>
  <si>
    <t>מילולית: אם עלייה במחיר השוק ב-10 גוררת ירידה ברוו״ה ב-10, סימן</t>
  </si>
  <si>
    <t xml:space="preserve">שהשיפוע 1-. </t>
  </si>
  <si>
    <t>אם אני יודע שבנקודת החיתוך של הגרף עם ציר הרווח, הערך 15.</t>
  </si>
  <si>
    <t xml:space="preserve">ואני גם יודע שהשיפוע הוא 1-. </t>
  </si>
  <si>
    <t>אז אם ארצה את נקודת החיתוך הראשונה עם הציר האופקי, שמובילה לרווח 0?</t>
  </si>
  <si>
    <t>בהינתן שכל עלייה במחיר השוק מורידה את הרווח ב-1, כדי להקטין את הרווח מ-15</t>
  </si>
  <si>
    <t>ל-0, מחיר השוק צריך לעלות מ-0 ל-15.</t>
  </si>
  <si>
    <t>בנוסף זיהינו שבמעבר ממחיר שוק 80 למחיר שוק 90, הרוו״ה משתנה מ-5- ל-5+.</t>
  </si>
  <si>
    <t xml:space="preserve">לכן השיפוע חיובי: 1+. </t>
  </si>
  <si>
    <t>ואם אנו יודעים שבמחיר שוק של 50 קיים הפסד של 35, אזי כדי לאפס את ההפסד</t>
  </si>
  <si>
    <t>מחיר השוק צריך לעלות מ-50 ב-35, כלומר למחיר שוק של 85.</t>
  </si>
  <si>
    <t>בודידו קנה אוכף על מניית יובל במחיר מימוש (strike או x) של 30 ש״ח למניה.</t>
  </si>
  <si>
    <t>אם זיהיתי בשאלה קניית אוכף &gt;&gt;&gt;&gt;</t>
  </si>
  <si>
    <t>יש להתבסס על קניית Call וגם קניית Put באותו מחיר מימוש</t>
  </si>
  <si>
    <r>
      <t xml:space="preserve">Call </t>
    </r>
    <r>
      <rPr>
        <b/>
        <sz val="12"/>
        <color theme="1"/>
        <rFont val="David"/>
      </rPr>
      <t>30</t>
    </r>
  </si>
  <si>
    <r>
      <t xml:space="preserve">Put </t>
    </r>
    <r>
      <rPr>
        <b/>
        <sz val="12"/>
        <color theme="1"/>
        <rFont val="David"/>
      </rPr>
      <t>30</t>
    </r>
  </si>
  <si>
    <t>תזרים מקניית</t>
  </si>
  <si>
    <t>כל עוד st&lt;x</t>
  </si>
  <si>
    <t>אחרת:</t>
  </si>
  <si>
    <t>הסיבה היא שלא כדאי לקנות מניה במחיר מימוש x אם בשוק היא זולה יותר.</t>
  </si>
  <si>
    <t>תזרים חיובי בגובה ההפרש בין מחיר השוק לבין מחיר המימוש:</t>
  </si>
  <si>
    <t>כל עוד st=&lt;x</t>
  </si>
  <si>
    <t xml:space="preserve">אופציית Call לא כדאי לממש כשהמחיר בשוק st קטן או שווה למחיר המימוש באופציה x. </t>
  </si>
  <si>
    <t>לכן כאשר st=&lt;x לא יהיה מימוש. CF=0</t>
  </si>
  <si>
    <t>כאשר המחיר בשוק st גבוה ממחיר המימוש באופציה זו, כדאי לממש אותה, ונוצר</t>
  </si>
  <si>
    <t>P&amp;L C30</t>
  </si>
  <si>
    <t>(**)</t>
  </si>
  <si>
    <t>מקניית Call 30</t>
  </si>
  <si>
    <t>לפי התזרים</t>
  </si>
  <si>
    <t>מהאופציה</t>
  </si>
  <si>
    <t>בניכוי הפרמיה</t>
  </si>
  <si>
    <t>ששולמה בעדה</t>
  </si>
  <si>
    <t>רווח / הפסד מקניית אופציה הוא התזרים ממנה בניכוי הפרמיה ששולמה.</t>
  </si>
  <si>
    <t>(***)</t>
  </si>
  <si>
    <t xml:space="preserve">תזרים מקניית </t>
  </si>
  <si>
    <t xml:space="preserve">אינאוטיבית: אופציית Put היא כעין ביטוח. </t>
  </si>
  <si>
    <t>האופציה תניב תזרים חיובי כאשר שווי נכס הבסיס ירד אל מתחת למחיר המימוש.</t>
  </si>
  <si>
    <t>במלים אחרות:</t>
  </si>
  <si>
    <t>CF = x - st</t>
  </si>
  <si>
    <t>האופציה תניב תזרים 0 כאשר שווי נכס הבסיס בשוק גדול או שווה למחיר המימוש.</t>
  </si>
  <si>
    <t>st &gt;= x</t>
  </si>
  <si>
    <t>CF = 0</t>
  </si>
  <si>
    <t>if</t>
  </si>
  <si>
    <t>then</t>
  </si>
  <si>
    <t>אחרת</t>
  </si>
  <si>
    <t>מקניית Put 30</t>
  </si>
  <si>
    <t>P&amp;L P30</t>
  </si>
  <si>
    <t>כולל מהאסטרטגיה</t>
  </si>
  <si>
    <t>Total</t>
  </si>
  <si>
    <t>א. הציגו תזרים בפקיעה / במימוש מהאסטרטגיה, וכן רווח והפסד, בטווח מחירים שבין 0 ל-100 במרווחים של 10.</t>
  </si>
  <si>
    <t>ב. הציגו גרף רווח והפסד בגין האסטרטגיה.</t>
  </si>
  <si>
    <t>ציר אנכי</t>
  </si>
  <si>
    <t>בגרף</t>
  </si>
  <si>
    <t>ציר</t>
  </si>
  <si>
    <t>אופקי</t>
  </si>
  <si>
    <t>במחיר מימוש 30</t>
  </si>
  <si>
    <t>שלבים מקוצרים:</t>
  </si>
  <si>
    <t>הצגתי את נקודת החיתוך עם הציר האנכי</t>
  </si>
  <si>
    <t>הצגתי את נקודת המינימום</t>
  </si>
  <si>
    <t>שמתקיימת בקניית אוכף כאשר</t>
  </si>
  <si>
    <t>ה-st זהה למחירי המימוש באופציות שקונים</t>
  </si>
  <si>
    <t>נק׳ חיתוך ראשונה:</t>
  </si>
  <si>
    <t xml:space="preserve">עליי לעבור מ-5+ ל-0. </t>
  </si>
  <si>
    <t>אני נמצא בחלק היורד של הגרף,</t>
  </si>
  <si>
    <t xml:space="preserve">שיפוע שלילי. </t>
  </si>
  <si>
    <t xml:space="preserve">השיפוע 1-. </t>
  </si>
  <si>
    <t>לכן צריך להגדיל ה - st ב-5 כדי להקטין</t>
  </si>
  <si>
    <t>את הרווח מ-5 ל-0 ולהגיע לחיתוך ראשון.</t>
  </si>
  <si>
    <t>עבור נקודת החיתוך השניה,</t>
  </si>
  <si>
    <t xml:space="preserve">אני בחלק העולה של הגרף. </t>
  </si>
  <si>
    <t>המטרה היא להגדיל את ה - st כדי להגדיל</t>
  </si>
  <si>
    <t>את הרווח מ-25- ל-0.</t>
  </si>
  <si>
    <t>לכן, צריך להגדיל את ה - st ב-25 כדי להגיע</t>
  </si>
  <si>
    <t xml:space="preserve">לחיתוך שני. </t>
  </si>
  <si>
    <t>להגדיל ב-25 מערך של 30 זה אומר שנקודת</t>
  </si>
  <si>
    <t xml:space="preserve">החיתוך הנוספת תהיה בערך st של 55. </t>
  </si>
  <si>
    <t>שאלה לבית עם פתרון מלא</t>
  </si>
  <si>
    <t>שאלה 3 - קניית אוכף Long Straddle תרגול נוסף לבית</t>
  </si>
  <si>
    <t>רוני קנתה אוכף על מניית חזיזון.</t>
  </si>
  <si>
    <t>להלן נתונים בדבר מחירי האופציות הרלוונטיות (כולן או חלקן) ליישום האסטרטגיה (ערב יישומה). הניחו כי אין אפשרות</t>
  </si>
  <si>
    <t xml:space="preserve">לקנות אופציות אחרות פרט לאלו הנתונות להלן, וכמו כן, יש להניח שהמכפיל = 1. </t>
  </si>
  <si>
    <t>Put 40</t>
  </si>
  <si>
    <t>א. הציג רווח והפסד, בטווח מחירים שבין 0 ל-100 במרווחים של 10.</t>
  </si>
  <si>
    <t>Put 15</t>
  </si>
  <si>
    <t>Put 25</t>
  </si>
  <si>
    <t>Put 35</t>
  </si>
  <si>
    <t>p&amp;l c40</t>
  </si>
  <si>
    <t>Put 55</t>
  </si>
  <si>
    <t>p&amp;l p40</t>
  </si>
  <si>
    <t>במחיר מימוש 40</t>
  </si>
  <si>
    <t>Call, x&gt;st</t>
  </si>
  <si>
    <t>Put, st&gt;x</t>
  </si>
  <si>
    <t>א. הציגו תזרים בפקיעה / במימוש מהאסטרטגיה, כמותית בטבלה, בטווח מחירים שבין 0 ל-100 במרווחים של 10.</t>
  </si>
  <si>
    <r>
      <t>קונים אופציית Call "</t>
    </r>
    <r>
      <rPr>
        <u/>
        <sz val="12"/>
        <color rgb="FF0070C0"/>
        <rFont val="David"/>
      </rPr>
      <t>מחוץ לכסף</t>
    </r>
    <r>
      <rPr>
        <sz val="12"/>
        <color rgb="FF0070C0"/>
        <rFont val="David"/>
      </rPr>
      <t xml:space="preserve">", קרי כזו </t>
    </r>
    <r>
      <rPr>
        <u/>
        <sz val="12"/>
        <color rgb="FF0070C0"/>
        <rFont val="David"/>
      </rPr>
      <t>שמחיר המימוש שלה x</t>
    </r>
    <r>
      <rPr>
        <sz val="12"/>
        <color rgb="FF0070C0"/>
        <rFont val="David"/>
      </rPr>
      <t xml:space="preserve"> גבוה </t>
    </r>
    <r>
      <rPr>
        <u/>
        <sz val="12"/>
        <color rgb="FF0070C0"/>
        <rFont val="David"/>
      </rPr>
      <t>ממחיר השוק הנוכחי</t>
    </r>
    <r>
      <rPr>
        <sz val="12"/>
        <color rgb="FF0070C0"/>
        <rFont val="David"/>
      </rPr>
      <t>,</t>
    </r>
  </si>
  <si>
    <r>
      <t>במקביל קונים אופציית Put שהיא ״</t>
    </r>
    <r>
      <rPr>
        <u/>
        <sz val="12"/>
        <color rgb="FF00B050"/>
        <rFont val="David"/>
      </rPr>
      <t>מחוץ לכסף</t>
    </r>
    <r>
      <rPr>
        <sz val="12"/>
        <color rgb="FF00B050"/>
        <rFont val="David"/>
      </rPr>
      <t xml:space="preserve">״, קרי שמחיר המימוש x שלה נמוך </t>
    </r>
    <r>
      <rPr>
        <u/>
        <sz val="12"/>
        <color rgb="FF00B050"/>
        <rFont val="David"/>
      </rPr>
      <t>ממחיר השוק הנוכחי</t>
    </r>
    <r>
      <rPr>
        <sz val="12"/>
        <color rgb="FF00B050"/>
        <rFont val="David"/>
      </rPr>
      <t>.</t>
    </r>
  </si>
  <si>
    <r>
      <t xml:space="preserve">המשקיע ישתמש באסטרטגיה זו כאשר הוא מאמין שמחירו של נכס הבסיס ינוע </t>
    </r>
    <r>
      <rPr>
        <b/>
        <u/>
        <sz val="12"/>
        <color rgb="FFFF0000"/>
        <rFont val="David"/>
      </rPr>
      <t>קיצונית</t>
    </r>
    <r>
      <rPr>
        <sz val="12"/>
        <color theme="1"/>
        <rFont val="David"/>
      </rPr>
      <t xml:space="preserve"> מחוץ</t>
    </r>
  </si>
  <si>
    <r>
      <t xml:space="preserve">לטווח ערכים ספציפי, כלומר - שוק תנודתי </t>
    </r>
    <r>
      <rPr>
        <b/>
        <u/>
        <sz val="12"/>
        <color rgb="FFFF0000"/>
        <rFont val="David"/>
      </rPr>
      <t>מאד</t>
    </r>
    <r>
      <rPr>
        <sz val="12"/>
        <color theme="1"/>
        <rFont val="David"/>
      </rPr>
      <t xml:space="preserve">, אך איננו משוכנע לאיזה כיוון ישתנו השווקים. </t>
    </r>
  </si>
  <si>
    <t>רווח תיאורטי לא מוגבל, רווח משמעותי כשהשוק מתברר כתנודתי מאד, הפסד מירבי בגובה הפרמיות (שנמוכות יותר מאשר בקניית אוכף).</t>
  </si>
  <si>
    <t xml:space="preserve">פרמיה = </t>
  </si>
  <si>
    <t>יש לרכוש אופציית Call שמחיר המימוש שלה (הערך המספרי ליד שם האופציה)</t>
  </si>
  <si>
    <t>גבוה ממחיר השוק הנוכחי</t>
  </si>
  <si>
    <r>
      <t xml:space="preserve">הספציפית היום הוא </t>
    </r>
    <r>
      <rPr>
        <b/>
        <sz val="12"/>
        <color theme="1"/>
        <rFont val="David"/>
      </rPr>
      <t>50</t>
    </r>
    <r>
      <rPr>
        <sz val="12"/>
        <color theme="1"/>
        <rFont val="David"/>
      </rPr>
      <t xml:space="preserve"> ש״ח, ומחירי האופציות על המניה הם:</t>
    </r>
  </si>
  <si>
    <t>יש לרכוש אופציית Put שמחיר המימוש שלה (הערך המספרי ליד שם האופציה)</t>
  </si>
  <si>
    <t>נמוך ממחיר השוק הנוכחי</t>
  </si>
  <si>
    <t>ב. הציגו גרף רווח והפסד חשבו באופן מדויק את נקודות החיתוך של גרף הרווח / ההפסד עם הצירים ופרטו את דרך החישוב.</t>
  </si>
  <si>
    <t>במימוש/פקיעה</t>
  </si>
  <si>
    <t>רוו״ה מקניית שוקת</t>
  </si>
  <si>
    <t>ערכי ה -st המתקיימים בקצוות הערך השלילי המינימלי של גרף הרווח או ההפסד</t>
  </si>
  <si>
    <t>הם מחירי המימוש של אופציית ה - PUT (ערך שמאלי, 40)</t>
  </si>
  <si>
    <t>ומחירי המימוש של אופציית ה - Call (ערך ימני, 60)</t>
  </si>
  <si>
    <r>
      <t xml:space="preserve">כלל זה </t>
    </r>
    <r>
      <rPr>
        <u/>
        <sz val="12"/>
        <color theme="1"/>
        <rFont val="David"/>
      </rPr>
      <t>לא</t>
    </r>
    <r>
      <rPr>
        <sz val="12"/>
        <color theme="1"/>
        <rFont val="David"/>
      </rPr>
      <t xml:space="preserve"> מאתר את נקודות החיתוך, אלא את טווח מחירי השוק של נכס הבסיס</t>
    </r>
  </si>
  <si>
    <t>אשר יוביל את המשקיע להפסד מקסימלי.</t>
  </si>
  <si>
    <t>הדבר שונה מאוכף, שבו ההפסד המקסימלי תמיד מתקיים במחיר שוק אחד ויחיד.</t>
  </si>
  <si>
    <t>זכרו:</t>
  </si>
  <si>
    <t>הנחתנו היא</t>
  </si>
  <si>
    <t>שהמכפיל</t>
  </si>
  <si>
    <t>הוא 1,</t>
  </si>
  <si>
    <t>המשמעות המתמטית:</t>
  </si>
  <si>
    <t xml:space="preserve">לאורך כל הגרף, </t>
  </si>
  <si>
    <t>למעט החלק המקביל</t>
  </si>
  <si>
    <t xml:space="preserve">לציר האופקי, </t>
  </si>
  <si>
    <t>השיפוע הוא 1+ בחלק</t>
  </si>
  <si>
    <t>העולה</t>
  </si>
  <si>
    <t>או 1- בחלק היורד</t>
  </si>
  <si>
    <t>בהתאמה</t>
  </si>
  <si>
    <t>מדוע נק׳ החיתוך השמאלית עם הציר האופקי היא 22?</t>
  </si>
  <si>
    <t>ידוע: כשה - st הוא 40, ההפסד 18-.</t>
  </si>
  <si>
    <t xml:space="preserve">בנוסף ידוע שאני נמצא בחלק היורד של העקומה והשיפוע 1-. </t>
  </si>
  <si>
    <t xml:space="preserve">משמעות: על כל יחידה שנקטין את st, יש עליה ב-1 ברווח. </t>
  </si>
  <si>
    <t>כדי להגדיל את הרווח ב-18 (כדי להפוך אותו מ-18- ל-0) נרצה להקטין את ה - st ב-18</t>
  </si>
  <si>
    <t>וזה אומר:</t>
  </si>
  <si>
    <t>יצאנו מ-st=40, הקטנו אותו ב-18 כדי לאפס את הרווח, לכן נק׳ חיתוך שמאלית: 22</t>
  </si>
  <si>
    <t xml:space="preserve">40 - 18 = </t>
  </si>
  <si>
    <t>כאשר המכפיל 1</t>
  </si>
  <si>
    <t>במקרה הפשוט (קניית אופציה</t>
  </si>
  <si>
    <t>אחת מכל סוג) נק׳ החיתוך</t>
  </si>
  <si>
    <t>עם הצירים הן מחירי המימוש</t>
  </si>
  <si>
    <t xml:space="preserve">של האופציות, בניכוי או </t>
  </si>
  <si>
    <t>בתוספת ההפסד המירבי</t>
  </si>
  <si>
    <t>טיפ לשכיר/ה:</t>
  </si>
  <si>
    <t>ראינו שאסטרטגיית שוקת מאד דומה לאוכף במובן זה, ששתיהן מניבות רווח למשקיע בתרחיש של תנודתיות שוק,</t>
  </si>
  <si>
    <t>קרי הן במצב של עלייה במחיר השוק והן במצב של ירידה במחיר השוק.</t>
  </si>
  <si>
    <t>ההבדל העקרוני הוא שכדי ליישם אסטרטגיית אוכף יש לקנות אופציות ״יקרות״, שהן בכסף, מה שמוביל לכך</t>
  </si>
  <si>
    <t>שהפרמיה בעדן יקרה באופן יחסי. זה אמנם אומר שמתחילים ״להחזיר את ההשקעה״ גם כשהשינוי במחיר</t>
  </si>
  <si>
    <t>הנכס לא מאד קיצוני, אבל מצד שני - אפשר גם להפסיד הרבה מאד, כי כאמור, שולמה פרמיה גבוהה.</t>
  </si>
  <si>
    <t>לעומת זאת, כאשר מיישמים אסטרטגיית שוקת, הפרמיה המשולמת זולה ונמוכה יותר, שכן קונים אופציות</t>
  </si>
  <si>
    <t>שהן מחוץ לכסף, שמתחילות להחזיר ערך למשקיע רק כאשר השינויים במחיר הם חזקים יותר, מה שמתרחש</t>
  </si>
  <si>
    <t>בסבירות נמוכה יותר. המשמעות היא שבאסטרטגיית שוקת ההפסד המירבי נמוך יותר, אך הוא מתקיים</t>
  </si>
  <si>
    <t>בטווח רחב יותר של מחירי שוק אפשריים, כפי שניתן לראות דרך ה״רצפה״ של השוקת (החלק בגרף המקביל</t>
  </si>
  <si>
    <t>לציר האופקי) לעומת ה״שפיץ״ התחתון באוכף.</t>
  </si>
  <si>
    <t>אז לסיכום ביניים (הסיכום שהבטחתי בסוף השיעור):</t>
  </si>
  <si>
    <t>תרגיל 1 - קניית שוקת - Long Strangle - פתרון על ידי מרצה</t>
  </si>
  <si>
    <t>מדוע נקודת החיתוך הימנית עם הציר האופקי היא 78?</t>
  </si>
  <si>
    <t xml:space="preserve">ידוע: כשה - st הוא 60, ההפסד 18-. </t>
  </si>
  <si>
    <t xml:space="preserve">בנוסף ידוע שאני נמצע בחלק העולה של העקומה והשיפוע 1+. </t>
  </si>
  <si>
    <t>משמעות: על כל יחידה שנגדיל את st, יש עליה ב-1 ברווח.</t>
  </si>
  <si>
    <t>כדי להגדיל את הרווח ב-18, כדי להפכו מ-18- ל-0, נרצה להגדיל את st ב-18,</t>
  </si>
  <si>
    <t>והגדלתו מ-60 ב-18 מובילה ל-st בנקודת חיתוך ימנית בערך של 78.</t>
  </si>
  <si>
    <r>
      <t xml:space="preserve">שאלה 2 - קניית שוקת - Long Strangle - </t>
    </r>
    <r>
      <rPr>
        <b/>
        <u/>
        <sz val="12"/>
        <rFont val="David"/>
      </rPr>
      <t>לבית</t>
    </r>
  </si>
  <si>
    <t>אסטרטגיה 3: קניית פרפר - Long butterfly</t>
  </si>
  <si>
    <t>אסטרטגיה זו מערבת קנייה וכתיבה של אופציות שמועד פקיעתן זהה אך במחירי מימוש שונים.</t>
  </si>
  <si>
    <t>זוהי אסטרטגיה נייטרלית, שמובילה לרווחים במצב של שונות נמוכה (low volatility) במחירי</t>
  </si>
  <si>
    <t xml:space="preserve">נכס הבסיס. </t>
  </si>
  <si>
    <t>לשם כך:</t>
  </si>
  <si>
    <t>נקנה אופציה אחת בתוך הכסף</t>
  </si>
  <si>
    <t>ציפיה ליציבות שוק תוך הגבלת ההפסד במידה והתחזית לא תתממש.</t>
  </si>
  <si>
    <t>רווח מוגבל בתרחיש הרלוונטי (יציבות).</t>
  </si>
  <si>
    <t>אפשר ליישם אסטרטגיה זו על ידי:</t>
  </si>
  <si>
    <t>כתיבת 2 אופציות Call 40</t>
  </si>
  <si>
    <t xml:space="preserve">נניח למשל שמחיר השוק של נכס הבסיס הוא 40. </t>
  </si>
  <si>
    <t>נקנה אופציה אחת מחוץ לכסף</t>
  </si>
  <si>
    <t>ונכתוב שתי אופציות בכסף</t>
  </si>
  <si>
    <t>קניית אופציית Put 50 אחת</t>
  </si>
  <si>
    <t>קניית אופציית Put 30 אחת</t>
  </si>
  <si>
    <t>כתיבת 2 אופציות Put 40</t>
  </si>
  <si>
    <t>לחילופין (בהנחה שמחיר השוק של נכס הבסיס 40), אפשר ליישם אסטרטגיה זו ע״י:</t>
  </si>
  <si>
    <t>strike price</t>
  </si>
  <si>
    <t>בהנחה שהמכפיל 1, הציגו בטבלה רווח / הפסד מאסטרטגיית קניית פרפר בטווח מחירי שוק שבין 0 ל-100 כאשר ידוע ש:</t>
  </si>
  <si>
    <t>ולאחר מכן הציגו גרף רווח / הפסד רלוונטי.</t>
  </si>
  <si>
    <t>תרגיל 2</t>
  </si>
  <si>
    <t>תרגיל 3 לבית</t>
  </si>
  <si>
    <t>בהנחה שהמכפיל 1, הציגו בטבלה רווח / הפסד מאסטרטגיית קניית פרפר בטווח מחירי שוק שבין 0 ל-100 וכן גרף</t>
  </si>
  <si>
    <t>רלוונטי כאשר ידוע ש:</t>
  </si>
  <si>
    <t>תרגיל 4 לבית</t>
  </si>
  <si>
    <t>משקיע הצופה שוק תנודתי,</t>
  </si>
  <si>
    <t xml:space="preserve">מוכן לשלם פרמיות גבוהות </t>
  </si>
  <si>
    <t>כל שינוי במחיר נכס הבסיס משפיע לטובה</t>
  </si>
  <si>
    <t>ביחס לנקודת המינימום</t>
  </si>
  <si>
    <t>משקיע הצופה שוק תנודתי מאד</t>
  </si>
  <si>
    <t>ומעוניין לחסוך בסכומי הפרמיה המשולמים</t>
  </si>
  <si>
    <t>כשה״מחיר״ (החסרון) הנובע מכך הוא שנדרש</t>
  </si>
  <si>
    <t>שינוי קיצוני במחיר נכס הבסיס כדי שתיווצר השפעה לטובה</t>
  </si>
  <si>
    <t>כעת, נדוון בסיטואציה שבה ציפיות המשקיע הן ״הפוכות״. כלומר, הוא מאמין שמחיר נכס הבסיס יישאר יציב בקירוב.</t>
  </si>
  <si>
    <t>מהן האפשרויות לבניית אסטרטגיה של משקיע זה?</t>
  </si>
  <si>
    <t>האפשרות ה״נאיבית״ היא בסך הכל להתקשר בעסקאות הפוכות מה-2 למעלה.</t>
  </si>
  <si>
    <t>כתיבת אוכף</t>
  </si>
  <si>
    <t>רווח מירבי לכותב כשאין שינוי בשווי נכס הבסיס</t>
  </si>
  <si>
    <t>כתיבת שוקת</t>
  </si>
  <si>
    <t>רווח מירבי כשאין שינוי משמעותי בשווי נכס הבסיס</t>
  </si>
  <si>
    <t>הבעיה: אם אני מתקשר בכתיבת אוכף או כתיבת שוקת מתוך הציפייה לשוק יציב אני אחשוש מאד מתרחיש של שינוי</t>
  </si>
  <si>
    <t>קיצוני שיכול בכל זאת להתחולל במחיר נכס הבסיס ויניב לי הפסדים כבדים.</t>
  </si>
  <si>
    <t>כדי לפתור בעיה זו, כדי לייצר אסטרטגיה שמצד אחד - תאפשר רווח גבוה יחסית כאשר השוק יציב, אך מצד שני - תגביל</t>
  </si>
  <si>
    <t>את ההפסד המירבי כאשר השוק תנודתי, נציג את האסטרטגיה הבאה - קניית פרפר.</t>
  </si>
  <si>
    <t xml:space="preserve">קניית אופציית Call30 אחת ״בתוך הכסף״ </t>
  </si>
  <si>
    <t>״כדאי לממש״</t>
  </si>
  <si>
    <t>x = 30 &lt; st = 40</t>
  </si>
  <si>
    <t>קניית אופציית Call50 אחת ״מחוץ לכסף״</t>
  </si>
  <si>
    <t>״לא כדאי לממש״</t>
  </si>
  <si>
    <t>x = 50 &gt; st = 40</t>
  </si>
  <si>
    <t>במחיר מימוש שזהה למחיר</t>
  </si>
  <si>
    <t>השוק</t>
  </si>
  <si>
    <t>תרגיל 1 - יישום בסיסי של אסטרטגיית קניית פרפר שמבוססת על אופציות Call</t>
  </si>
  <si>
    <t>כתיבת 2 אופציות Call 40 "בכסף״</t>
  </si>
  <si>
    <t xml:space="preserve">במלים אחרות: קניית פרפר = </t>
  </si>
  <si>
    <t xml:space="preserve">קניית ״קצוות״ </t>
  </si>
  <si>
    <t>כתיבה ״פעמיים״ של המרכז.</t>
  </si>
  <si>
    <t>מחיר נכס</t>
  </si>
  <si>
    <t>הבסיס</t>
  </si>
  <si>
    <t>אפשר להתרשם מכך שהמשקיע הצליח לבנות אסטרטגיה שתניב לו רווח חיובי</t>
  </si>
  <si>
    <t xml:space="preserve">במצב של יציבות שוק, ובמקרה שבו המחיר ישתנה באופן מהותי יחסית, ייווצר הפסד - </t>
  </si>
  <si>
    <t xml:space="preserve">אך ההפסד מוגבל לערך מירבי מוחלט של 4. </t>
  </si>
  <si>
    <r>
      <t>long C</t>
    </r>
    <r>
      <rPr>
        <sz val="12"/>
        <color rgb="FF00B050"/>
        <rFont val="David"/>
      </rPr>
      <t>50</t>
    </r>
  </si>
  <si>
    <t>קניית אופציית PUT בקצה השמאלי (מחיר מימוש נמוך)</t>
  </si>
  <si>
    <t>קניית אופציית PUT בקצה הימני (מחיר מימוש גבוה)</t>
  </si>
  <si>
    <t>כתיבת 2 אופציות PUT ״ביניהן״</t>
  </si>
  <si>
    <t>long P40</t>
  </si>
  <si>
    <t>long P60</t>
  </si>
  <si>
    <t>של 5 ו-70 בהתאמה.</t>
  </si>
  <si>
    <t>2 * short C45</t>
  </si>
  <si>
    <r>
      <t>long C</t>
    </r>
    <r>
      <rPr>
        <sz val="12"/>
        <color rgb="FFFF0000"/>
        <rFont val="David"/>
      </rPr>
      <t>40</t>
    </r>
  </si>
  <si>
    <t>וואו שי, באמת רק מפסידים פה?</t>
  </si>
  <si>
    <t xml:space="preserve">ובכן, לא ממש. שימו לב שהפעם מחירי המימוש באופציות אינם ״עגולים״ אלא בקפיצות של 5. אם היינו עורכים </t>
  </si>
  <si>
    <t>את הטבלה לעיל בקפיצות של 5 היינו מגלים תוצאות הגיוניות יותר עם ערך חיובי באמצע:</t>
  </si>
  <si>
    <t>וואי שי איך יכולנו לדעת זה מכשיל!!!</t>
  </si>
  <si>
    <t>ובכן, קודם כל אם הכל טריביאלי, מה לומדים בעצם? קופי פייסט? אנחנו פחות בקטע.</t>
  </si>
  <si>
    <t>שנית, *אתם* צריכים לדעת שאין דבר כזה שפרפר יכלול תזרים שלילי קבוע. אין חיה כזו. חייב להיות איזשהו ״פיק״ חיובי.</t>
  </si>
  <si>
    <t>ואם הוא לא בטבלה, צריך למצוא אותו.</t>
  </si>
  <si>
    <t>להלן גם תרשים רלוונטי:</t>
  </si>
  <si>
    <t>וואי שי יא נקניק אחרי השאלה הקודמת אין מצב שאני עושה את זה בקפיצות של 10. המחיר 65 הוא ה״אמצעי״</t>
  </si>
  <si>
    <t>וחייב להופיע בטבלה כדי שיהיה לי קל לראות את הרווח. אז הנה:</t>
  </si>
  <si>
    <t>long P70</t>
  </si>
  <si>
    <t>2 * short P65</t>
  </si>
  <si>
    <t>אופציות ומכשירים פיננסיים מתוחכמים - הרצאה 8 - אסטרטגיות משולבות - המשך</t>
  </si>
  <si>
    <t>אסטרטגיה 4: מרווח יורד - Bear Spread - כללי</t>
  </si>
  <si>
    <t>מעבר להגדרות הטכניות המסודרות להלן, נתמצת את משפט המפתח בהסבר הבסיסי שהענקנו בהרצאה:</t>
  </si>
  <si>
    <t>מרווח יורד זו אסטרטגיה שמאפשרת למשקיע ״להנות״ (להרוויח) מירידת מחיר נכס הבסיס, תוך חסכון בסכום</t>
  </si>
  <si>
    <t xml:space="preserve">הפרמיה נטו (בהשוואה לאסטרטגיה ״פשוטה״ של קניית PUT בלבד). </t>
  </si>
  <si>
    <t>כותבים אופציית Put במחיר מימוש נמוך יותר (בהשוואה לאופציה שנרכשה).</t>
  </si>
  <si>
    <t>לכתוב Put שמחיר המימוש שלו קטן ממחיר השוק (הנוכחי) של המניה</t>
  </si>
  <si>
    <t xml:space="preserve">בעצם, אני קונה Put ״כרגיל״ כדי להגן על עצמי מירידה, אבל - בו זמנית, כדי לחסוך / לקזז את </t>
  </si>
  <si>
    <t xml:space="preserve">עלויות הפרמיה המשולמות בעד ה - Put הנרכש, אני כותבת אופציית Put אחרת, </t>
  </si>
  <si>
    <t xml:space="preserve">אני מקבלת בעד זאת סכום פרמיה חיובי, כך שסך עלות האסטרטגיה נטו קטנה. </t>
  </si>
  <si>
    <t>long Put150</t>
  </si>
  <si>
    <t>קניית Put</t>
  </si>
  <si>
    <t>גבוה</t>
  </si>
  <si>
    <t>כתיבת Put</t>
  </si>
  <si>
    <t>נמוך</t>
  </si>
  <si>
    <t>short Put100</t>
  </si>
  <si>
    <t>סך הרווח</t>
  </si>
  <si>
    <t>או ההפסד</t>
  </si>
  <si>
    <t>מהאסטרטגיה</t>
  </si>
  <si>
    <t>נק׳ החיתוך של תרשים הרווח / ההפסד</t>
  </si>
  <si>
    <t>מהאסטרטגיה עם הציר האנכי</t>
  </si>
  <si>
    <t xml:space="preserve">בהגדרה מתקבלת מחישוב המניח שה-st </t>
  </si>
  <si>
    <t>הוא 0.</t>
  </si>
  <si>
    <t>150-0-80 =</t>
  </si>
  <si>
    <t>long Put(150), st = 0:</t>
  </si>
  <si>
    <t>short Put(100), st = 0:</t>
  </si>
  <si>
    <t>-(100-0-45) =</t>
  </si>
  <si>
    <t>Total P&amp;L, st = 0</t>
  </si>
  <si>
    <t xml:space="preserve">70 - 55 = </t>
  </si>
  <si>
    <t>הגרף ״נשבר״ (כלפי מטה) כמו לבי</t>
  </si>
  <si>
    <t>במחיר המימוש של אופציית ה - Put</t>
  </si>
  <si>
    <t>ה״ראשונה״ (זו שמחיר המימוש שלה נמוך).</t>
  </si>
  <si>
    <t xml:space="preserve">שלא במקרה, זו האופציה הנכתבת </t>
  </si>
  <si>
    <t xml:space="preserve">באסטרטגיה זו. </t>
  </si>
  <si>
    <t>הגרף ״מתיישר״ וחוזר להיות מקביל לציר</t>
  </si>
  <si>
    <t>האופקי כאשר מחיר השוק זהה או גבוה</t>
  </si>
  <si>
    <t xml:space="preserve">ממחיר המימוש של אופציית ה -Put </t>
  </si>
  <si>
    <t xml:space="preserve">הגבוהה יותר (זו שקנינו). </t>
  </si>
  <si>
    <t>נקודת החיתוך של אסטרטגיית המרווח</t>
  </si>
  <si>
    <t>היורד עם הציר האופקי מתקבלת לפי:</t>
  </si>
  <si>
    <t>ערך בנקודה B: 100,15</t>
  </si>
  <si>
    <t>השיפוע בחלק היורד BD הוא 1-</t>
  </si>
  <si>
    <t xml:space="preserve">לכן, כדי להגיע לערך 0 בציר האנכי, </t>
  </si>
  <si>
    <t>נגדיל את ה -st ב-15:</t>
  </si>
  <si>
    <t>C: 100+15,15-15</t>
  </si>
  <si>
    <t>C: 115, 0</t>
  </si>
  <si>
    <t>long P120</t>
  </si>
  <si>
    <t>short P70</t>
  </si>
  <si>
    <t>כותב</t>
  </si>
  <si>
    <t>סה״כ</t>
  </si>
  <si>
    <t>רווח/הפסד</t>
  </si>
  <si>
    <t>המחיר בשוק</t>
  </si>
  <si>
    <t>כאשר:</t>
  </si>
  <si>
    <t>נק׳ A:</t>
  </si>
  <si>
    <t xml:space="preserve">רווח מקסימלי. </t>
  </si>
  <si>
    <t xml:space="preserve">כאשר אני מזהה ערכים נמוכים של st (שווים או נמוכים ממחיר המימוש של ה-Put הנכתב / הנמוך) </t>
  </si>
  <si>
    <t xml:space="preserve">שבהם הרווח גבוה ולא משתנה בעקבות ירידה נוספת זהו הרווח המקסימלי. </t>
  </si>
  <si>
    <t>נק׳ B:</t>
  </si>
  <si>
    <t>נק׳ ״השבר״ הראשונה שממנה מתחילה הירידה. היא תמיד תהיה בדיוק בנקודה של מחיר המימוש</t>
  </si>
  <si>
    <t xml:space="preserve">של האופציה הנמוכה יותר (זו שנכתבת). </t>
  </si>
  <si>
    <t>נק׳ C:</t>
  </si>
  <si>
    <t>נק׳ החיתוך עם הציר האופקי. בנקודה זו בהגדרה הרווח / ההפסד שווה ל-0, וכאן זיהינו אותה</t>
  </si>
  <si>
    <t>ישירות מהטבלה. במקרים שבהם איננה מזוהה ישירות מהטבלה - ראו תרגיל קודם.</t>
  </si>
  <si>
    <t>נק׳ D:</t>
  </si>
  <si>
    <t xml:space="preserve">הנקודה שממנה ואילך (או במחירי מימוש גבוהים ממנה) ההפסד מירבי. </t>
  </si>
  <si>
    <t xml:space="preserve">נקודה זו היא תמיד (במרווח יורד) במחיר st שזהה למחיר המימוש באופציה הגבוהה יותר (הנרכשת). </t>
  </si>
  <si>
    <t>ההפסד המירבי - בגובה הפרשי הפרמיות.</t>
  </si>
  <si>
    <t>אסטרטגיות משולבות כולל הסקת מסקנות ושיקול דעת בסיסי</t>
  </si>
  <si>
    <t>אסטרטגיות משולבות / תיאוריה / שיקול דעת ״מתקדם״</t>
  </si>
  <si>
    <t>אסטרטגיה 5: ואחרונה לקורס - מרווח עולה</t>
  </si>
  <si>
    <t>כותבים אופציית Call מחוץ לכסף</t>
  </si>
  <si>
    <t>קונים אופציית Call בתוך הכסף</t>
  </si>
  <si>
    <t>לקנות Call שמחיר המימוש שלה נמוך ממחיר השוק של המניה</t>
  </si>
  <si>
    <t>בעצם, אני קונה Call שמאפשרת לי להנות מעליית מחיר המניה (או נכס הבסיס, בראייה כללית יותר)</t>
  </si>
  <si>
    <t xml:space="preserve">אך כדי לקזז את עלויות הפרמיה המשולמות בעד ה - Call הנרכש, אני כותבת אופציית Call אחרת, </t>
  </si>
  <si>
    <t>ציפיה לעליית שערים תוך דרישה להגביל ההפסד במקרה שהתחזית לא תתגשם.</t>
  </si>
  <si>
    <t>כעת, מעט מידע בדבר מבנה הבחינה:</t>
  </si>
  <si>
    <t>שאלה 1 - מרווח עולה</t>
  </si>
  <si>
    <t>מאי מאמינה שמניה ״ZB״ תעלה אך לא באופן קיצוני מאד, והיא יודעת שאופציות Call הן יקרות מאד. היא מעוניינת</t>
  </si>
  <si>
    <t>להלן נתונים בדבר אופציות רלוונטיות:</t>
  </si>
  <si>
    <t>Call 45</t>
  </si>
  <si>
    <t>Call 55</t>
  </si>
  <si>
    <t xml:space="preserve">נדרש: הציגו בטבלה ובתרשים את הרווח / ההפסד במימוש / פקיעה במחירי מימוש שבין 20 ל-90 במרווחים של 5. </t>
  </si>
  <si>
    <t>חיבור למפגש הקודם:</t>
  </si>
  <si>
    <t>להוביל למצב שבו מצד אחד נוכל להגן על עצמנו מ״ירידת מחירים״ בשוק, ומצד שני, לאור הכתיבה המשולבת באסטרטגיה,</t>
  </si>
  <si>
    <t>נקבל סכום חיובי של פרמיה, שיקזז את העלות הכוללת של האסטרטגיה, ותקטין את ההפסד במידה וירידה</t>
  </si>
  <si>
    <t>לא תתרחש.</t>
  </si>
  <si>
    <t>bear spread</t>
  </si>
  <si>
    <t>bull spread</t>
  </si>
  <si>
    <t xml:space="preserve">הפסד מירבי (עלות האסטרטגיה) בגובה הפרשי הפרמיות. </t>
  </si>
  <si>
    <t xml:space="preserve">לנקוט באסטרטגיה שתקטין את הפרמיה נטו שהיא משלמת (ובפרט תהיה נמוכה יותר מהפרמיה על תשלום קניית Call בלבד). </t>
  </si>
  <si>
    <t xml:space="preserve">P&amp;L </t>
  </si>
  <si>
    <t xml:space="preserve">באופן גס: הואיל והנתונים מעידים על צורך באסטרטגיית מרווח עולה [צפי לעלייה אך לא קיצונית; רצון לקזז את </t>
  </si>
  <si>
    <t xml:space="preserve">הפרמיה המצרפית המשולמת בעסקה]. לכן ארכוש אופציית Call עם מחיר מימוש נמוך, ואכתוב Call עם מחיר </t>
  </si>
  <si>
    <t>מימוש גבוה.</t>
  </si>
  <si>
    <t>קונה</t>
  </si>
  <si>
    <t>Short Call 55</t>
  </si>
  <si>
    <r>
      <t xml:space="preserve">Long Call </t>
    </r>
    <r>
      <rPr>
        <b/>
        <sz val="12"/>
        <color rgb="FFFF0000"/>
        <rFont val="David"/>
      </rPr>
      <t>45</t>
    </r>
  </si>
  <si>
    <t>בגרף רווח והפסד של מרווח עולה, נק׳ החיתוך של הגרף</t>
  </si>
  <si>
    <t>עם הציר האנכי - היא בגובה הפרשי הפרמיות:</t>
  </si>
  <si>
    <t>פרמיה שהתקבלה - כתיבת Call 55</t>
  </si>
  <si>
    <t>בניכוי פרמיה ששולמה - קניית Call 45</t>
  </si>
  <si>
    <t>הפרשי הפרמיות</t>
  </si>
  <si>
    <t xml:space="preserve">נקודת ה״שבר״ השמאלית בגרף (שממנה הוא מתחיל </t>
  </si>
  <si>
    <t>לעלות) במרווח עולה, לעולם תהיה מחיר המימוש</t>
  </si>
  <si>
    <t>של אופציית ה - Call שקנינו באסטרטגיה</t>
  </si>
  <si>
    <t xml:space="preserve">נק׳ החיתוך של הגרף עם הציר האופקי תקבע לפי </t>
  </si>
  <si>
    <t xml:space="preserve">מחיר המימוש של אופציית ה - Call שקניתי, </t>
  </si>
  <si>
    <t>בתוספת הערך המוחלט של הפרשי הפרמיות:</t>
  </si>
  <si>
    <t>מחיר מימוש של האופציה שקניתי Call 45</t>
  </si>
  <si>
    <t>הוסף: ערך מוחלט הפרשי פרמיות</t>
  </si>
  <si>
    <t>קבל: נקודת חיתוך עם ציר אופקי</t>
  </si>
  <si>
    <t xml:space="preserve">נקודת ה״שבר״ הימנית בגרף (שממנה הוא חוזר להיות </t>
  </si>
  <si>
    <t>מקביל לציר האופקי) במרווח עולה הוא תמיד</t>
  </si>
  <si>
    <t>מחיר המימוש של אופציית ה - Call שכתבנו באסטרטגיה</t>
  </si>
  <si>
    <t>נקודת המקסימום של P&amp;L בגרף חושבה על בסיס שיפוע</t>
  </si>
  <si>
    <t>של 1, ועלייה בערך ה - st מ-50 ל-55, שבהתאם הגדילה</t>
  </si>
  <si>
    <t xml:space="preserve">את הרווח מ-0 (בנקודה 50) ל-5. </t>
  </si>
  <si>
    <t>שאלות פתוחות בלבד - שזה מאד נחמד, ומאפשר ניקוד גם של היגיון, הבנה, לא רק ״איפה נק׳ חיתוך״.</t>
  </si>
  <si>
    <r>
      <t xml:space="preserve">כל חומר עזר </t>
    </r>
    <r>
      <rPr>
        <b/>
        <sz val="12"/>
        <rFont val="David"/>
      </rPr>
      <t>כתוב</t>
    </r>
    <r>
      <rPr>
        <sz val="12"/>
        <rFont val="David"/>
      </rPr>
      <t xml:space="preserve"> מותר בשימוש כולל הדפסת מבחנים לדוגמא ומחברות אלקטרוניות.</t>
    </r>
  </si>
  <si>
    <t xml:space="preserve">פרסום מערך תגבורים סיוע וכו׳ סופי - בקרוב. Stay Tuned. </t>
  </si>
  <si>
    <t xml:space="preserve">יפורסם מספר מסויים. </t>
  </si>
  <si>
    <t>מיקוד ביניים (ייתכנו שינויים קלים בלבד, שבמידה ויווצרו, אפרסמם):</t>
  </si>
  <si>
    <t>מבחנים לדוגמא</t>
  </si>
  <si>
    <t>מבחן מס׳ 1 - הוא למעשה ״מטה״ - מגוון תרגילי חזרה.</t>
  </si>
  <si>
    <t xml:space="preserve">לדוגמא, ההצלחה היא בהסתברות גבוהה מאד (לשם ההמחשה, בשנה שעברה קיבלו רק מבחן לדוגמא בודד ויחיד, ובכל </t>
  </si>
  <si>
    <t xml:space="preserve">זאת ההצלחה היתה מרובה למי שהשקיע). </t>
  </si>
  <si>
    <t>ברי כי כאשר מדובר בקורס חדש, מאגרי הבחינות מוגבלים - אם תלמדו היטב את כל חומרי הקורס ולקינוח את המבחנים</t>
  </si>
  <si>
    <t>מבחנים מס׳ 2 ו-3 הם למעשה מועדי א + ב מהסמסטר הקודם - מקושרים לאתר הקורס במודל.</t>
  </si>
  <si>
    <t>רקע: מדובר באופציות על מדד ת״א 35. אופציות על מדדי מניות הן כאלו שחישוביהן (תזרים במימוש / בפקיעה) נשען</t>
  </si>
  <si>
    <t xml:space="preserve">על הפרשי מחירים כפול 100. </t>
  </si>
  <si>
    <t xml:space="preserve">באופן דומה, אופציות על מט״ח (כגון אופציות על הדולר) הן בעלות מכפיל 10,000. </t>
  </si>
  <si>
    <t>שאלת קהל: ״שי, במבחן נצטרך לדעת מה המכפיל או שתכתוב לנו״?</t>
  </si>
  <si>
    <t>תשובתי: אתם צריכים לדעת - אופציות על מדדי מניות = מכפיל 100, אופציות על מט״ח = 10,000, בכל מקרה אחר</t>
  </si>
  <si>
    <t xml:space="preserve">שבו לא ציינתי מפורשות, המכפיל = 1. </t>
  </si>
  <si>
    <t>שאלת קהל: ״האם המחיר הוא למעשה הפרמיה המשולמת בעד האופציה״?</t>
  </si>
  <si>
    <t>תשובתי: כן. למעשה, במקום להשתמש במונח ״מחיר״/״עלות האופציה״ לעתים אשתמש במונח ״שער האופציה״.</t>
  </si>
  <si>
    <t>long C500</t>
  </si>
  <si>
    <t>long P470</t>
  </si>
  <si>
    <t>short P450</t>
  </si>
  <si>
    <t xml:space="preserve">כאשר אני נתקלת באופציות על מדד מניות אחשב את התזרים בפקיעה / במימוש כרגיל, </t>
  </si>
  <si>
    <t xml:space="preserve">אכפול אותו ב-100, ואנכה את הפרמיה ששולמה. </t>
  </si>
  <si>
    <t>הדגמה: אופציית C500 על מדד מניות, כאשר מחיר השוק 520, רווח / הפסד במימוש:</t>
  </si>
  <si>
    <t>(520 - 500) * 100 - 2,000</t>
  </si>
  <si>
    <t>פתרון לסעיף א - רווח / הפסד בטבלה בטווח מחירי סגירה בין 400-600 במרווחי 20</t>
  </si>
  <si>
    <t xml:space="preserve">כאשר שואלים אותי מהו הרווח / ההפסד המקסימלי מאסטרטגיה, ולא מציינים טווח מחירים מסויים, </t>
  </si>
  <si>
    <t>הכוונה היא למקסימום / מינימום ״גלובלי״ = ללא תלות במחיר השוק.</t>
  </si>
  <si>
    <t>ואם לא ניתן להביט רק על ערכי Total P&amp;L בטבלה לעיל, על מה כן נביט?</t>
  </si>
  <si>
    <t>פתרון לסעיף ב - מקסימלי מאסטרטגיה</t>
  </si>
  <si>
    <t xml:space="preserve">בהינתן שהטבלה מציגה קשר חיובי בין st לרווח - כלומר לפחות במחירים גבוהים של st, מעל 540, </t>
  </si>
  <si>
    <t xml:space="preserve">הרווח מהאסטרטגיה הכוללת גבוה יותר, ללא ״תקרה״. </t>
  </si>
  <si>
    <t>במפגש הבא אנחנו נרחיב ונעמיק ספציפית בדבר סוגיה זו, נספק בנחת רוח קווים מנחים, ואם היה לכם</t>
  </si>
  <si>
    <t>דחוס, אז ללא היסוס דעו: רווח / הפסד מקסימלי עליו שואלים - הוא לא רווח / הפסד מקסימלי בגבולות</t>
  </si>
  <si>
    <t>הטבלה, אלא מקסימום / מינימום מירבי נקודה.</t>
  </si>
  <si>
    <r>
      <t xml:space="preserve">הרווח עולה ככל ש -st עולה, </t>
    </r>
    <r>
      <rPr>
        <b/>
        <sz val="12"/>
        <color theme="1"/>
        <rFont val="David"/>
      </rPr>
      <t>הרי שנוכל לומר שהרווח המקסימלי הוא ״בלתי מוגבל״: ככל ש - st גבוה יותר,</t>
    </r>
  </si>
  <si>
    <t>ג. הדרך הנכונה ללמוד לבחינה היא קודם כל דרך המחברת. המבחנים לדוגמא הנכללים כאן ובאתר הקורס הם בחלקם</t>
  </si>
  <si>
    <t xml:space="preserve">מסמסטרים קודמים ולכן, למרות חשיבותם והמיפוי שביצענו כך שיכללו שאלות שהן פוטנציאלית רלוונטיות </t>
  </si>
  <si>
    <t>לסמסטר זה (במיוחד בשאלות ברמת קושי גבוהה), אם אתם סגורים פרפקט ולא רק על התאוריה אלא גם על היישום</t>
  </si>
  <si>
    <t xml:space="preserve">שביצענו לכל אורך הסמסטר, אתם גולדן. </t>
  </si>
  <si>
    <t>ד. השאיפה לפרפקציונזם מעוררת חרדה וזה בסדר ואני מבין שככה אתם. אבל הואיל והמבחן פתוח, צריך לדאוג לבטא</t>
  </si>
  <si>
    <t>את הידע בצורה הטובה ביותר, להניח הנחות רלוונטיות לפי הצורך, ולזכור שאין מדובר פה בקורס מסנן. השתדלו ככל</t>
  </si>
  <si>
    <t xml:space="preserve">שניתן להנות מהדרך. </t>
  </si>
  <si>
    <t>ה. ניתן לקבל שעות קבלה וסיוע פרטני מהמתרגל אופק גראס-טאטן. אני ממקד את כל זמני בשעות הסיוע הפרונטליות</t>
  </si>
  <si>
    <t>להלן דף הפתיח הספציפי לבחינה:</t>
  </si>
  <si>
    <t>לא בחומר. לא אדרוש ב-2024א גרף עם מכפילים שונים מ-1</t>
  </si>
  <si>
    <t>פתרון לסעיף ג - הפסד מקסימלי</t>
  </si>
  <si>
    <t xml:space="preserve">ההפסד המקסימלי הוא 2,500. </t>
  </si>
  <si>
    <t>הדרך הקלה לראות זאת היא להביט בטבלה; אבל זה עשוי להטעות.</t>
  </si>
  <si>
    <t>הדרך החכמה יותר תהיה:</t>
  </si>
  <si>
    <t xml:space="preserve">כדי להפסיד את כל הפרמיה על ה -Call, המחיר ב - Call צריך להיות 500 או פחות. ואז בגין ה - Call </t>
  </si>
  <si>
    <t>נפסיד את כל הפרמיה שהיא 2,000.</t>
  </si>
  <si>
    <t>כדי להפסיד את כל הפרמיה על ה- Put שרכשנו, מחיר השוק צריך להיות 470 או יותר, ואז בגין ה - Put</t>
  </si>
  <si>
    <t xml:space="preserve">נפסיד את כל הפרמיה שהיא 1,500. </t>
  </si>
  <si>
    <t>כלומר בהגדרה בין 470 ל-500 הפסד הפרמיות מירבי.</t>
  </si>
  <si>
    <t>ומה לגבי האופציה שאנחנו כותבים? ובכן, בטווח זה אופציית ה - Put 450 שכתבנו איננה ״בתוקף״</t>
  </si>
  <si>
    <t>ולכן הפרמיה בגינה מתקבלת באופן חיובי ובסימן מלא. לכן נוצר ערך חיובי של 1,000.</t>
  </si>
  <si>
    <t>בסך הכל, בטווח בין 470 ל-500:</t>
  </si>
  <si>
    <t>מפסידים פרמיה על Call</t>
  </si>
  <si>
    <t>מפסידים פרמיה על Put 470</t>
  </si>
  <si>
    <t>מרוויחים פרמיה על Put 450</t>
  </si>
  <si>
    <t>הפסד מירבי</t>
  </si>
  <si>
    <t>פתרון לסעיף ה (כי החלטנו ש-ד׳ לא בחומר, אין צורך בגרפים כשהמכפילים אינם 1 ב-2024א)</t>
  </si>
  <si>
    <t xml:space="preserve">ציפיות המשקיע הן לערך מחיר שוק של 525 או יותר (במצב כזה, רווחיו יהיו חיוביים). </t>
  </si>
  <si>
    <t>שאלה 1 - רמה 1</t>
  </si>
  <si>
    <t>שאלה 2 - רמה 2</t>
  </si>
  <si>
    <t>מאי עברי שוקלת לרכוש אופציית Call על מניית ״תותחים״ במחיר מימוש של 100 ש״ח.</t>
  </si>
  <si>
    <t>א. בהנחה שהאופציה מוחזקת לבדה (עירומה), ולא כחלק מאסטרטגיה כוללת רחבה יותר, מהן ציפיותיה של מאי?</t>
  </si>
  <si>
    <t xml:space="preserve">ב. חבר של מאי טען לעומתה: ״יא גנובה, היית קונה את המניה וזהו, בשביל מה Call״. האם הוא צודק? נמקו בקצרה. </t>
  </si>
  <si>
    <t xml:space="preserve">לשם כך שילמה פרמיה בסך 10 ש״ח. </t>
  </si>
  <si>
    <t>ג. מהו הסיכון העיקרי אליו חשופה מאי?</t>
  </si>
  <si>
    <t>ד. ידיד של מאי אמר לה ״וואללה גם אני קניתי אופציית Put, זה ממש דומה, נכון?״. דונו בקצרה במשמעויות השקעה</t>
  </si>
  <si>
    <t>זו, וגם לטובת הקשר זה - הניחו כי הרכישה איננה חלק מאסטרטגיה רחבה יותר.</t>
  </si>
  <si>
    <t xml:space="preserve">דונקי רכש אופציות על הדולר. </t>
  </si>
  <si>
    <t xml:space="preserve">א. בהנחה שהוא מצפה לעליית שער הדולר, איזו אופציה ירכוש? נמקו. </t>
  </si>
  <si>
    <t>שער הדולר על מנת שדונקי ירוויח בעד הרכישה 800 ש״ח בדיוק?</t>
  </si>
  <si>
    <t xml:space="preserve">ב. הניחו כעת כי דונקי רכש אופציית Call על הדולר במחיר מימוש 3.8 ושילם בעבורה 1,200 ש״ח, מה צריך להיות </t>
  </si>
  <si>
    <t xml:space="preserve">ג. בומבמלה בכפר רכשה 4 אופציות Call על הדולר במחיר מימוש של 4.2 ושילם בעבור כל אופציה 500 ש״ח. </t>
  </si>
  <si>
    <t>מה צריך להיות שער הדולר על מנת שבומבמלה תרוויח במועד המימוש / הפקיעה 3,000 ש״ח?</t>
  </si>
  <si>
    <t>ד. בהמשך לסעיף ג, מהו ההפסד המירבי של בומבמלה?</t>
  </si>
  <si>
    <t xml:space="preserve">ה. חברה של בומבמלה טוען ״יא גנובה אם היית רוכשת במקביל גם 4 אופציות Put על הדולר אז לא היית </t>
  </si>
  <si>
    <t>יכולה להפסיד בכלל סטלנית אחת״. האם הוא צודק? מי הסטלן פה? נמקו בקצרה.</t>
  </si>
  <si>
    <t>שאלה 3 - רמה 3</t>
  </si>
  <si>
    <t>להלן מספר סוגיות הקשורות להשקעה באופציות שונות. השיבו לכל סוגיה / סעיף בנפרד.</t>
  </si>
  <si>
    <t>א. משקיע רכש אופציית 70 Call על מניה שמחיר המימוש שלה 70 ש״ח תמורת 15 ש״ח.</t>
  </si>
  <si>
    <t>כמו כן, המשקיע כתב אופציית Call 80 על אותה המניה, ועלותה 7 ש״ח.</t>
  </si>
  <si>
    <t>הציגו רווח / הפסד בטווח מחירי סגירה שבין 0 ל-140 במרווחים של 10. כמו כן, הציגו את גרף הרווח / ההפסד</t>
  </si>
  <si>
    <t>מהאסטרטגיה כולל נקודות מקסימום, מינימום ונקודות חיתוך עם הצירים. הסבירו את ציפיות המשקיע.</t>
  </si>
  <si>
    <t>ב. משקיע קנה אופציית Call שמחיר המימוש שלה 1600 על מדד ת״א 35 במחיר של 1,900 ש״ח וכן כתב</t>
  </si>
  <si>
    <t xml:space="preserve">אופציית Call שמחיר המימוש שלה 1608 על מדד זה במחיר של 1,150 ש״ח. </t>
  </si>
  <si>
    <t>מועד הפקיעה של האופציות זהה, ובמועד המימוש / הפקיעה המדד היה 1630. מהו הרווח / ההפסד של המשקיע</t>
  </si>
  <si>
    <t>מהאסטרטגיה?</t>
  </si>
  <si>
    <t>ג. דונקי רכש הרבה מאד אופציות לאחרונה, אך לא כתב אופציות כלל. חברו של דונקי טען כנגדו: ״יא גנוב,</t>
  </si>
  <si>
    <t>ברכישת אופציות ניתן להפסיד הרבה מעל סכום ההשקעה, התכונן לאכול לקרדה״. האם הטענה נכונה או שגויה?</t>
  </si>
  <si>
    <t>נמקו בקצרה.</t>
  </si>
  <si>
    <t>שאלה 4 - רמה 4</t>
  </si>
  <si>
    <t>בשוק ההון נסחרות האופציות הבאות (שימו לב, באופן עקרוני בבחינה האמיתית, אני יכול לבחור בין הצגה של ערכים</t>
  </si>
  <si>
    <t>בטבלה, או במלל, כגון: נסחרת אופציית Call על מניה שמחיר המימוש שלה 60 וזאת במחיר שוק של 8 ש״ח... וכן</t>
  </si>
  <si>
    <t>נסחרת אופציית Call על מניה שמחיר המימוש שלה 40 וזאת במחיר שוק של...):</t>
  </si>
  <si>
    <t xml:space="preserve">ב. הציגו בטבלה רווח / הפסד בטווח מחירי מימוש של בין 0 ל-110 במרווחים של 10. </t>
  </si>
  <si>
    <t xml:space="preserve">ג. הציגו גרף רווח / הפסד מהאסטרטגיה כולל נקודות מינימום, מקסימום ונקודות חיתוך עם הצירים (ככל שקיימות). </t>
  </si>
  <si>
    <t>אשר יבנה וכיצד יבנה אותה (מה האופציות שירכוש / יכתוב)? נמקו בצרה.</t>
  </si>
  <si>
    <t>שאלה 5 - רמה 5</t>
  </si>
  <si>
    <t xml:space="preserve">בשוק ההון נסחרות האופציות הבאות על מניה מסוימת: אופציית Call 30 שעלותה 11 ש״ח, אופציית Call 40 </t>
  </si>
  <si>
    <t>שעלותה 4 ש״ח, ואופציית Call 50 שעלותה 1 ש״ח.</t>
  </si>
  <si>
    <t>א. בהתאם לנלמד, זהו את סוג האסטרטגיה הרלוונטית העושה שימוש בכל האופציות הללו על מנת לבנות אסטרטגיה</t>
  </si>
  <si>
    <t>ספציפית קשורה. כיצד בונים אותה? מהן ציפיות המשקיעים באסטרטגיה?</t>
  </si>
  <si>
    <t>ב. הציגו בתרשים רווח / הפסד מהאסטרטגיה כולל נקודות מינימום / מקסימום ונקודות חיתוך עם הצירים.</t>
  </si>
  <si>
    <t>ג. (סעיף מחשבה) הציגו אסטרטגיה אחרת שניתן לבנות, בין אם נלמדה ישירות בין אם לא, שיכולה להתאים</t>
  </si>
  <si>
    <t>למשקיע בעל ציפיות דומות לאלו של זה שנקט באסטרטגיה שהוצגה לעיל (אסטרטגיה זו ניתן לבנות מכל סוג</t>
  </si>
  <si>
    <t xml:space="preserve">אופציה ללא מגבלה כלשהי). הסבירו באופן מילולי את היתרונות והחסרונות של אסטרטגיה זו. </t>
  </si>
  <si>
    <t>הבהרה: באתר הקורס תמצאו 2 מבחנים עם פתרונות מהסמסטר הקודם. המבחנים רלוונטיים כמובן. יחד עם זאת,</t>
  </si>
  <si>
    <t>כדי לדייק, לחדד ולעזור ברוח התקופה, כתבתי כאן מבחן שלם נוסף לדוגמא שמהודק עוד יותר לתכני הסמסטר</t>
  </si>
  <si>
    <t>הנוכחי באופן מלא וכולל 5 שאלות (עם התאמת תוכן לשאלה 5 שהגרסה שלה של סמסטרים קודמים פחות רלוונטית).</t>
  </si>
  <si>
    <t>כמובן, אי אפשר להסתמך רק על מבחן זה; כלל חומרי המחברת והמבחנים רלוונטיים מאד. זהו כלי עזר נוסף להידוק.</t>
  </si>
  <si>
    <t>אנו בוחנים את האפשרות להוסיף עוד תרגילים ברמת בחינה / בחינה נוספת לדוגמא בהמשך, ובכך בגדול יקיץ הקץ</t>
  </si>
  <si>
    <t>על חומרי הסמסטר.</t>
  </si>
  <si>
    <t>מבחן לדוגמא 3 - ״מאי עברי״</t>
  </si>
  <si>
    <t>מבחן לדוגמא 4 - ״יפה לי סגול״</t>
  </si>
  <si>
    <t>והבהרה נוספת:</t>
  </si>
  <si>
    <t>המייל של שי הוא shay.tsaban@gmail.com</t>
  </si>
  <si>
    <t xml:space="preserve">ולא המייל בסיומת colman. </t>
  </si>
  <si>
    <t>פתרון בסרטון חזרה 1 / מפגש 11</t>
  </si>
  <si>
    <t>פתרון בסרטון חזרה 2 / מפגש 12</t>
  </si>
  <si>
    <t>א. המשקיע צופה שוק תנודתי מאד, ומעוניין להקטין את תשלומי הפרמיה נטו. מהי האסטרגיה הרלוונטית המשולבת</t>
  </si>
  <si>
    <t xml:space="preserve">בקיצור: מחברת הקורס, ולא רק המבחנים לדוגמא - חשובה מאד. גם בהיבטי התרגילים, גם בהיבטי התיאוריה. </t>
  </si>
  <si>
    <t>הניתנות במסגרת החזרות הרבות שנבצע עד הבחינה. ראו פרטים מטה.</t>
  </si>
  <si>
    <t>רקע: אופציית Call היא אופציה שמקנה למשקיע את הזכות לרכוש נכס בסיס (למשל: מניית ״תותחים״) עד לתאריך</t>
  </si>
  <si>
    <t>קבוע וידוע במחיר (מחיר מימוש) קבוע וידוע. [רקע זה - לא כותבים במענה לשאלת בחינה, הוא עבורכם, כהסבר מקדים].</t>
  </si>
  <si>
    <t>והתשובה: בהתאם, וכפי שלמדנו, קניית אופציות Call מתאימה למשקיע שצופים עלייה במחיר המניה, וזאת משום</t>
  </si>
  <si>
    <t xml:space="preserve">שאם מחיר המניה עולה אל מעל מחיר רכישת הנכס שנקבע בהסכם האופציה (מחיר המימוש) המשקיע עשוי להרוויח. </t>
  </si>
  <si>
    <t>כאשר קונים מניה, אכן נהנים מעליית מחירה. יתר על כן, אורך חיי הנכס ״לא מוגבל״ (בשונה מאופציה), ולכן הסיכון</t>
  </si>
  <si>
    <t>לאובדן מלא של קרן ההשקעה נמוך יחסית (לפרמיה על אופציה, שמשולמת על נכס שיש לה תאריך תוקף מוגבל).</t>
  </si>
  <si>
    <t>אבל המניה מאד יקרה (באופן יחסי לעלות/לפרמיה המשולמת על אופציה מקבילה על אותו נכס בסיס). לכן לצד הסיכון</t>
  </si>
  <si>
    <t>הגדול הגלום בהשקעה באופציות - קיים גם יתרון משמעותי: ניתן לייצר חשיפה גדולה יותר לנכס הבסיס.</t>
  </si>
  <si>
    <t xml:space="preserve">אם, למשל, יש לי 100 ש״ח: אוכל לקנות מניה אחת - שיעור התשואה על ההשקעה נגזר מהיחס בין הרווח לבין הקרן של </t>
  </si>
  <si>
    <t>נניח כעת שקניתי במקום זה, ב-100 הש״ח, 10 אופציות במחיר של 10 ש״ח לאופציה. שילמתי 100. אם מחיר המניה</t>
  </si>
  <si>
    <t>עלה ל-122, הרווח בגין כל אופציה יהיה:</t>
  </si>
  <si>
    <t xml:space="preserve">122 - 100 - 10 = </t>
  </si>
  <si>
    <t>הרווח בגין 10 אופציות יהיה:</t>
  </si>
  <si>
    <t xml:space="preserve">כלומר, הרווחנו 120 ש״ח </t>
  </si>
  <si>
    <t>ה-100. למשל, אם מחיר המניה עלה ל-122 ש״ח והרווחנו 22 ש״ח, הרווחתי 22%.</t>
  </si>
  <si>
    <t xml:space="preserve">120 / 100 - 1 = </t>
  </si>
  <si>
    <t>תשובה קצרה שתספק למבחן: חברה של מאי טועה. זאת משום שהשקעה במניה אמנם מאפשרת להנות משינויים (למשל</t>
  </si>
  <si>
    <t>עליה) במחירה, אבל התשואה הנובעת מכך עשויה להיות נמוכה משמעותית מאשר השקעה באופציות Call בעלות דומה -</t>
  </si>
  <si>
    <t xml:space="preserve">אופציות יוצרות חשיפה לנכס הבסיס שהיא גבוהה יותר מאשר ההשקעה בנכס הבסיס עצמו. </t>
  </si>
  <si>
    <t>כאשר משקיע רוכש אופציה בודדת, הוא משלם פרמיה. הפרמיה לא תוחזר אליו בשום מקרה. אם מחיר המניה לא עולה</t>
  </si>
  <si>
    <t>מעל מחיר המימוש בטווח שעד לתאריך האחרון למימוש, מפסידים את כל הפרמיה.</t>
  </si>
  <si>
    <t>הידיד של מאי קצת מבולבל. מדוע? כי עם כל הכבוד לכך שמדובר באופציה ללא יוצא מן הכלל, שגם בגינה משולם פרמיה,</t>
  </si>
  <si>
    <t>וגם לה יש תאריך תוקף, הרי שסוג האופציה (Put) משקף זכות למכור נכס בסיס במחיר קבוע, ולא זכות לקנות נכס בסיס</t>
  </si>
  <si>
    <t xml:space="preserve">במחיר כאמור. בהתאם, אופציית ה - Put תניב ערך למשקיע דווקא בתרחיש ירידה במחיר נכס הבסיס. </t>
  </si>
  <si>
    <t>תזכורת: המכפיל באופציות על הדולר הוא 10,000. כלומר, כל הפערים הרלוונטיים בין שער הדולר המהווה את תוספת</t>
  </si>
  <si>
    <t>המימוש לבין שער הדולר בשוק יוכפלו ב-10,000 כדי לשקף את התזרים מהאופציה.</t>
  </si>
  <si>
    <t>אופציה המתאימה למשקיע הצופה עלייה במחיר נכס הבסיס היא אופציית Call. אופציה זו מקנה זכות לרכוש דולרים</t>
  </si>
  <si>
    <t xml:space="preserve">בשער חליפין קבוע וידוע, כך שבמידה ושער הדולר יעלה אל מעבר למחיר המימוש - למשקיע יווצר תזרים חיובי </t>
  </si>
  <si>
    <t xml:space="preserve">ואף פוטנציאלית רווח. </t>
  </si>
  <si>
    <t>מחיר השוק במימוש / בפקיעה</t>
  </si>
  <si>
    <t>ה-strike - תוספת המימוש / מחיר המימוש</t>
  </si>
  <si>
    <t xml:space="preserve">(st - x) * 10,000 - premium </t>
  </si>
  <si>
    <t>הפרמיה - עלות האופציה, מחיר האופציה עצמה</t>
  </si>
  <si>
    <t>בהצבת הנתונים נגלה ש:</t>
  </si>
  <si>
    <t>(st - 3.8) * 10,000 - 1,200 = 800</t>
  </si>
  <si>
    <t>(st - 3.8) * 10,000 = 800 + 1,200</t>
  </si>
  <si>
    <t>(st - 3.8) * 10,000 = 2,000</t>
  </si>
  <si>
    <t>st - 3.8 = 0.2</t>
  </si>
  <si>
    <t>st = 4</t>
  </si>
  <si>
    <t>אם שער הדולר יהיה 4 ש״ח במועד המימוש / הפקיעה, רווחי דונקי מהאופציה יהיו 800 ש״ח.</t>
  </si>
  <si>
    <r>
      <t xml:space="preserve">הרווח / ההפסד בגין אופציית </t>
    </r>
    <r>
      <rPr>
        <b/>
        <sz val="12"/>
        <color theme="1"/>
        <rFont val="David"/>
      </rPr>
      <t>Call</t>
    </r>
    <r>
      <rPr>
        <sz val="12"/>
        <color theme="1"/>
        <rFont val="David"/>
      </rPr>
      <t xml:space="preserve"> על מט״ח (כגון אופציות על הדולר), בהנחת מימוש:</t>
    </r>
  </si>
  <si>
    <t xml:space="preserve">P&amp;L - Call (OpUSD) = </t>
  </si>
  <si>
    <t>4 * [(st - 4.2) * 10,000 - 500] = 3,000</t>
  </si>
  <si>
    <t>נוסחה:</t>
  </si>
  <si>
    <t>יישום הנוסחה בגין 4 אופציות:</t>
  </si>
  <si>
    <t xml:space="preserve">(st - 4.2) * 10,000 - 500 = </t>
  </si>
  <si>
    <t>נמשיך בפיתוח:</t>
  </si>
  <si>
    <t xml:space="preserve">(st - 4.2) * 10,000 = </t>
  </si>
  <si>
    <t>st - 4.2 = 0.125</t>
  </si>
  <si>
    <t>st = 4.325</t>
  </si>
  <si>
    <t>אם שער הדולר יהיה 4.325 ש״ח במועד המימוש / הפקיעה, רווחי בובמבלה בכפר מכל האופציות יחד יהיו 3,000 ש״ח.</t>
  </si>
  <si>
    <t xml:space="preserve">מהאסטרטגיה (מקניית האופציות) הוא תמיד בגובה הפרמיה המצרפית ששולמה בעדן. </t>
  </si>
  <si>
    <t>כאן: בומבמלה בכפר רכשה 4 אופציות, במחיר (פרמיה) של 500 ש״ח לאופציה, ולכן הפסדיה המירביים הם 2,000 ש״ח.</t>
  </si>
  <si>
    <r>
      <t xml:space="preserve">כאשר </t>
    </r>
    <r>
      <rPr>
        <b/>
        <sz val="12"/>
        <color theme="1"/>
        <rFont val="David"/>
      </rPr>
      <t>משקיעים רוכשים אופציות - וזה הכל</t>
    </r>
    <r>
      <rPr>
        <sz val="12"/>
        <color theme="1"/>
        <rFont val="David"/>
      </rPr>
      <t>; לא כותבים; לא מחזיקים בנכסים נגדיים וכיו״ב, אזי, ההפסד המירבי</t>
    </r>
  </si>
  <si>
    <t>בומבלה רכשה במקור רק אופציות Call. אם היא תרכוש גם אופציות Put, היא למעשה מתקשרת באסטרטגיית אוכף/</t>
  </si>
  <si>
    <t xml:space="preserve">שוקת. כמובן שגם במקרה זה היא יכולה להפסיד. </t>
  </si>
  <si>
    <t>כל מצב שבו אני רוכש אופציות בלבד, עלול להוביל להפסדים בגובה הפרמיות ששולמו. לכן, אם ישולמו פרמיות נוספות</t>
  </si>
  <si>
    <t xml:space="preserve">בגין רכישת אופציות אחרות, כגון אופציות Put, עקרונית - ניתן להפסיד גם את הפרמיה בגינן. </t>
  </si>
  <si>
    <t xml:space="preserve">לכן לא נכון לומר, בטח לא במקרה הכללי, שעצם זה שאני קונה גם Call וגם Put מונע ממני את היכולת להפסיד. </t>
  </si>
  <si>
    <t>להרחבה: ראו הדגמה להפסדים באסטרטגיות אוכף ושוקת שבהן הצגנו את ההפסדים שעלולים לנבוע בגין תשלומי</t>
  </si>
  <si>
    <t xml:space="preserve">פרמיות הן בגין Call והן בגין Put. </t>
  </si>
  <si>
    <t xml:space="preserve">strike (x) = </t>
  </si>
  <si>
    <t xml:space="preserve">premium = </t>
  </si>
  <si>
    <t>Short Call</t>
  </si>
  <si>
    <t>Long Call</t>
  </si>
  <si>
    <t>long C70</t>
  </si>
  <si>
    <t>short C80</t>
  </si>
  <si>
    <t>ציפיות המשקיע הן לשוק עולה -  אך לא זאת בלבד - הוא מעוניין להגביל את ההפסד במקרה שהתרחיש לא יתממש.</t>
  </si>
  <si>
    <t>כל זאת תוך צמצום יחסי של הפרמיה בהשוואה לאסטרטגיה של רכישת אופציית Call בלבד - זוהי למעשה</t>
  </si>
  <si>
    <t>אסטרטגיית מרווח עולה שהוצגה בקורס.</t>
  </si>
  <si>
    <t xml:space="preserve">חסרון האסטרטגיה הוא מגבלה על סכום הרווח המירבי - במידה ואכן תחול עלייה חדה במחיר השוק של נכס </t>
  </si>
  <si>
    <t xml:space="preserve">הבסיס. </t>
  </si>
  <si>
    <t>long C(TA35) 1600</t>
  </si>
  <si>
    <t>premium = 1,900</t>
  </si>
  <si>
    <t>short Call(TA35) 1608</t>
  </si>
  <si>
    <t>premium = 1,150</t>
  </si>
  <si>
    <t>מכפיל (מדד):</t>
  </si>
  <si>
    <t>רווח / הפסד מקנייה של אופציית Call על המדד:</t>
  </si>
  <si>
    <t>P&amp;L long C(TA35) = (st - x) * 100 - premium</t>
  </si>
  <si>
    <t xml:space="preserve">P&amp;L long C1600 = (1630 - 1600) * 100 - 1,900 = </t>
  </si>
  <si>
    <t xml:space="preserve">P&amp;L long(TA35) = (1630 - 1608) * 100 - 1,150 = </t>
  </si>
  <si>
    <t>קניית C1600 - רווח</t>
  </si>
  <si>
    <t>קניית C1608 - רווח</t>
  </si>
  <si>
    <t>אבל כתבנו... ולכן</t>
  </si>
  <si>
    <t xml:space="preserve">P&amp;L short(TA35) = -P&amp;L long(TA35) = </t>
  </si>
  <si>
    <t>בסך הכל רווח למשקיע:</t>
  </si>
  <si>
    <t xml:space="preserve">1,100 - 1050 = </t>
  </si>
  <si>
    <t>חברו של דונקי טועה. כאשר כל הפוזיציה מורכבת מקניית אופציות בלבד, ההפסד המירבי למשקיע הוא בגובה</t>
  </si>
  <si>
    <t>הפרמיות ששילם.</t>
  </si>
  <si>
    <t xml:space="preserve">ככלל, בשוק תנודתי שכיוון תנודתיותו לא ידוע (למעלה / למטה), קיימות 2 אסטרטגיות רלוונטיות: אוכף ושוקת. </t>
  </si>
  <si>
    <t xml:space="preserve">באסטרטגיית אוכף, הפרמיה גבוהה יותר, אבל התזרים מתחיל לגדול על כל תנועה ביחס לערך מחיר המימוש </t>
  </si>
  <si>
    <t xml:space="preserve">לגביו נרכשו האופציות. </t>
  </si>
  <si>
    <t>זאת לעומת אסטרטגיית שוקת, שבה העובדה שרוכשים Call בעל מחיר מימוש גבוה יותר ו/או אופציית Put בעלת</t>
  </si>
  <si>
    <t xml:space="preserve">מחיר מימוש נמוך יותר, מובילה לתשלום פרמיה נטו שהיא נמוכה יותר. </t>
  </si>
  <si>
    <t>כאן, המטרה היא להקטין את תשלומי הפרמיה. ולכן, מבין שתי האפשרויות, אוכף פחות רלוונטי, ועדיף לדון בשוקת.</t>
  </si>
  <si>
    <t xml:space="preserve">באסטרטגיית שוקת, אנחנו קונים Put וגם Call כאשר קיים פער במחירי המימוש ביניהם, ובהינתן הנתונים </t>
  </si>
  <si>
    <r>
      <t xml:space="preserve">הספציפיים המופיעים כאן, </t>
    </r>
    <r>
      <rPr>
        <b/>
        <sz val="12"/>
        <color theme="1"/>
        <rFont val="David"/>
      </rPr>
      <t>קונים C60 וכן P40 כדי ליישם אסטרטגיית קניית שוקת לפי ההגדרה</t>
    </r>
    <r>
      <rPr>
        <sz val="12"/>
        <color theme="1"/>
        <rFont val="David"/>
      </rPr>
      <t>.</t>
    </r>
  </si>
  <si>
    <t>Long C60</t>
  </si>
  <si>
    <t>Long P40</t>
  </si>
  <si>
    <t>נק׳ מקסימום:</t>
  </si>
  <si>
    <t>אין, הרווח המירבי לא מוגבל (בצד הימני)</t>
  </si>
  <si>
    <t>נק׳ מינימום:</t>
  </si>
  <si>
    <t>הפסד מירבי של 18, בטווח מחירי סגירה של בין 40 ל-60</t>
  </si>
  <si>
    <t>ראו בגרף</t>
  </si>
  <si>
    <t xml:space="preserve">השאלה מציגה אופציות Call בלבד. ולא רק זה, היא דורשת שימוש בכולן, ולאופציות מחירי מימוש שונים. בהתאם </t>
  </si>
  <si>
    <t>לאסטרטגיות שנלמדו, האסטרטגיה היחידה שתעשה שימוש בכל האופציות היא קניית פרפר, שבמסגרתה, בהתאם</t>
  </si>
  <si>
    <t>להגדרה: קונים אופציה אחת מכל סוג ב״קצוות״ (אופציה אחת בעלת מחיר המימוש הגבוה ביותר מבין ה-3, ואופציה</t>
  </si>
  <si>
    <t xml:space="preserve">נוספת בעלת מחיר המימוש הנמוך ביותר מבין ה-3), וכן כותבים 2 אופציות שמחיר המימוש שלהן הוא ״באמצע״. </t>
  </si>
  <si>
    <t>בהמחשה ברורה יותר:</t>
  </si>
  <si>
    <t>קנה</t>
  </si>
  <si>
    <t>קניה</t>
  </si>
  <si>
    <t>כתוב</t>
  </si>
  <si>
    <t>אופציה אחת</t>
  </si>
  <si>
    <t>שתי אופציות</t>
  </si>
  <si>
    <t>ובהתאם, תשובתנו כאן תהיה: סוג האסטרטגיה העושה שימוש בכל האופציות הנ״ל (ביחס לנלמד, תמיד פעלו ביחס לנלמד)</t>
  </si>
  <si>
    <t>היא קניית פרפר; בונים אותה על בסיס הרכב הפעולות המופיע לעיל (שורות 386-388), ציפיות המשקיע באסטרטגיה הן</t>
  </si>
  <si>
    <t xml:space="preserve">לשוק יציב (תוך הגבלת ההפסד, במידה והציפייה לא תתממש). </t>
  </si>
  <si>
    <t>הדבר המרכזי שעשוי לעניין את הפותרים והפותרות בשלב הזה הוא: ״שייקה, מה עם טבלה? איך נפתור בלי טבלה״?</t>
  </si>
  <si>
    <t>לכך יש לי 2 תשובות.</t>
  </si>
  <si>
    <t>ראשית, אין מניעה לייצר גם טבלת רווח והפסד במחירי מימוש שונים. לא נפחית ניקוד על טבלה מיותרת.</t>
  </si>
  <si>
    <t xml:space="preserve">שנית, אם אני מבין את האסטרטגיה, אוכל (אולי, תלוי במיומנות שלי) לחסוך זמן על ידי הצגת התרשים ישירות. </t>
  </si>
  <si>
    <t xml:space="preserve">ננסה לפעול בדרך זו. </t>
  </si>
  <si>
    <t>סך הכל עלות פרמיות, נטו = הפסד מירבי</t>
  </si>
  <si>
    <t>את הרווח המירבי אפשר לחשב במספר דרכים, כגון על בסיס השיפוע (אם השיפוע 1 כברירת מחדל, עלייה ב - st מ-30</t>
  </si>
  <si>
    <t>ל-40 מגדילה את הרווח מ 4- ב-10 קרי ל 6+) או בדרכים אחרות לנוחותכם.</t>
  </si>
  <si>
    <t>את נקודות החיתוך עם הצירים אני אוהב לחשב על סמך השיפוע. מ-4- ל-0 צריך להגדיל את המחיר מ-30 ל-34; כי המכפיל 1</t>
  </si>
  <si>
    <t xml:space="preserve">בנוסף מ-6 ל-0 צריך להגדיל את המחיר מ-40 ל-46 כי המכפיל 1-. </t>
  </si>
  <si>
    <t>סעיפים כאלו הם סעיפי מחשבה פתוחים ונועדו להבדיל בין סטודנטים וסטודנטיות טובים מאד למעולים. בהחלט ייתכנו</t>
  </si>
  <si>
    <t>הפתעות, אבל משקלן לא יהיה גבוה. אז אנא להשתדל להפסיק עם הגישה של participation trophy (עשיתי כל מה שאפשר</t>
  </si>
  <si>
    <t>ולכן מגיע לי 100) ולהתמקד באתגר המרתק שבפרק.</t>
  </si>
  <si>
    <t>ובכן, ייתכנו מספר אפשרויות למענה נכון לסעיף זה, כתלות בהנמקה. אבל אני טוען כך. הרי הצורה של פרפר שנקנה היא</t>
  </si>
  <si>
    <t>שפיץ כזה שבולט למעלה (וכלכלית: רווח גבוה ביציבות). איזו אסטרטגיה מאד דומה לכך? ובכן, קניית אוכף. אבל קניית</t>
  </si>
  <si>
    <t xml:space="preserve">אוכף היא הפוכה, לא? היא מיועדת למשקיע שצופה שוק תנודתי! נכון. אבל מי הצד הנגדי לזה שצופה שוק תנודתי? מי </t>
  </si>
  <si>
    <t xml:space="preserve">כותב לו את האופציות שהוא קונה לטובת האסטרטגיה? נכון! משקיע שצופה שוק יציב. ולכן כתיבת Call וכתיבת Put </t>
  </si>
  <si>
    <t xml:space="preserve">במחיר מימוש זהה קרי כתיבת אוכף, הגם שלא תורגלה במישרין (ולכן גם לא דרשתי חישובים פה) היא כזו שמעידה </t>
  </si>
  <si>
    <t>על הבנה מלאה יותר של שני הצדדים לעסקה ברמה הכלכלית.</t>
  </si>
  <si>
    <t>היתרון הוא כמובן אפשרות לרווח גבוה יותר לאור הפרמיות הגבוהות שמקבלים (זכרו כי גם כשדנו בשאלה 4 באוכף הסברנו</t>
  </si>
  <si>
    <t>את מהות הפרמיות הגבוהות), החסרון הוא הפסד גבוה פוטנציאלי במקרים של תנודתיות שוק חזקה, וזאת בשונה מפרפר</t>
  </si>
  <si>
    <t>שבו תנודתיות חזקה מובילה להפסד מוגבל בהגדרה.</t>
  </si>
  <si>
    <t xml:space="preserve">ראשית, הצורה הכללית של קניית פרפר אמורה להיות ברורה (מפגש 7): </t>
  </si>
  <si>
    <t xml:space="preserve">הרווח המירבי מתקבל עבור אותו ערך של st המייצג את מחיר המימוש של האופציות שכותבים. </t>
  </si>
  <si>
    <t xml:space="preserve">הפסד מירבי מתקבל עבור אותם ערכי st שמייצגים את מחירי המימוש של האופציות שקונים (או קיצוניים מהם, למעלה / למטה לפי העניין). </t>
  </si>
  <si>
    <t>בהיבט סכום הההפסד המירבי הוא בגובה הפרשי הפרמיות:</t>
  </si>
  <si>
    <t>הפרמיה בעד Call30 היא 11 (נתון). אני משלם, לכן במינוס</t>
  </si>
  <si>
    <t>הפרמיה בעד Call50 היא 1 (נתון). אני משלם, לכן במינוס</t>
  </si>
  <si>
    <t>הפרמיה בעד Call40 היא 4 (נתון). אני כותב 2 כאלו, לכן בחיובי: 8 = 2 * 4</t>
  </si>
  <si>
    <t>בהיבט רווח מקסימלי: אם אני יודע שבמחיר st=30 ההפסד מירבי 4-, ובמחיר st=40 הרווח מירבי, הרי שבהינתן</t>
  </si>
  <si>
    <t>שיפוע 1+ הגדלת st מ-30 ל-40 תגדיל את הרווח מ-4- ל-6+.</t>
  </si>
  <si>
    <t>על בסיס השיפועים, אם כך, ניתן גם לאתר את נקודות החיתוך עם הצירים, ובסך הכל לקבל את התרשים הבא:</t>
  </si>
  <si>
    <t>התשובה הסופית:</t>
  </si>
  <si>
    <t>הפתרון:</t>
  </si>
  <si>
    <t>תרגילים לבית עם פתרון מלא - להלן</t>
  </si>
  <si>
    <t>השאלה</t>
  </si>
  <si>
    <t>השיבו על כל אחד מהסעיפים הבאים בנפרד:</t>
  </si>
  <si>
    <t xml:space="preserve">א. עדן רוכשת אופציית Put 80 על מניה כאשר הפרמיה בעדה 10 ש״ח. </t>
  </si>
  <si>
    <t xml:space="preserve">באותו המועד היא רוכשת אופציית Call נוספת על אותה המניה, אבל מחיר המימוש של אופציית ה - Call הוא 90 </t>
  </si>
  <si>
    <t xml:space="preserve">והפרמיה המשולמת בעדה היא 15 ש״ח. </t>
  </si>
  <si>
    <t xml:space="preserve">הציגו רווח / הפסד בטווח מחירי סגירה שבין 30 ל-130 במרווחים של 10, וכמו כן הציגו את הגרף המבהיר מהו הרווח / </t>
  </si>
  <si>
    <t>ההפסד הכולל מהאסטרטגיה במחירי מימוש שונים, לרבות נקודות מקסימום, מינימום ונקודות חיתוך עם הצירים.</t>
  </si>
  <si>
    <t>מה צריך להיות שער הדולר במועד המימוש / הפקיעה על מנת שהרווח הכולל של דנה יהיה 2,400 ש״ח (הערה: במידה</t>
  </si>
  <si>
    <t xml:space="preserve">ולדעתכם לא קיים שער דולר שיוביל לערך כאמור, יש לנמק זאת ולציין ״אין פתרון״). </t>
  </si>
  <si>
    <t xml:space="preserve">אופציית Put על הדולר שמחיר המימוש שלה 3.8 ש״ח לדולר בעלות של 1,100 ש״ח. לשתי האופציות מועד פקיעה זהה. </t>
  </si>
  <si>
    <t>אופציית Call נוספת על מדד זה אשר מחיר המימוש שלה 1700 בתמורה ל-1,850 ש״ח. מהו הרווח / ההפסד של טל</t>
  </si>
  <si>
    <t>בהנחה שמחיר השוק (במונחי ערך המדד) הוא 1880?</t>
  </si>
  <si>
    <t>א. הציגו בתרשים את הרווח / ההפסד מהאופציה עצמה, באופן סכמטי.</t>
  </si>
  <si>
    <t>ב. טל רוכשת אופציית Call על מדד ת״א 35 אשר מחיר המימוש שלה 1800 בתמורה ל-900 ש״ח. כמו כן, רוכשת טל</t>
  </si>
  <si>
    <r>
      <t xml:space="preserve">ולדעתכם לא קיים שער דולר שיוביל לערך כאמור, יש לנמק זאת ולציין ״אין פתרון״). </t>
    </r>
    <r>
      <rPr>
        <b/>
        <sz val="12"/>
        <color theme="1"/>
        <rFont val="David"/>
      </rPr>
      <t>סעיף מורכב שרק בעטיו רמת</t>
    </r>
  </si>
  <si>
    <t>ג. דנה רוכשת אופציית Call על הדולר שמחיר המימוש שלה 3.9 ש״ח לדולר בעלות של 1,800 ש״ח. כמו כן היא רוכשת</t>
  </si>
  <si>
    <t>הערה לנבחנים: מדובר בשאלה עם מכפילים, לכן ב-2024א לא אדרוש תרשים כזה. משאיר פתרון למעוניינים, לא אעבור</t>
  </si>
  <si>
    <t>עליו.</t>
  </si>
  <si>
    <t>רמה 5</t>
  </si>
  <si>
    <t>אופציית Call 120 שעלותה (הפרמיה המשולמת בעדה) 10 ש״ח.</t>
  </si>
  <si>
    <t>אופציית Call 90 שעלותה (הפרמיה המשולמת בעדה) 30 ש״ח.</t>
  </si>
  <si>
    <t>אופציית Put 50 שעלותה (הפרמיה המשולמת בעדה) 20 ש״ח.</t>
  </si>
  <si>
    <t>א. הנכם נדרשים לבנות אסטרטגיה שנלמדה בקורס, ואשר מתאימה למשקיע שציפיותיו הן לירידת שערים, אך במקביל</t>
  </si>
  <si>
    <t>אופציית Put 30 שעלותה (הפרמיה המשולמת בעדה) 5 ש״ח.</t>
  </si>
  <si>
    <t>מעוניין להגביל את ההפסד במידה והתחזית לא תתממש. הקפידו לציין מה בדיוק תרכשו ומה בדיוק תכתבו.</t>
  </si>
  <si>
    <t>ב. הציגו בטבלה רווח / הפסד מהאסטרטגיה בטווח מחירים שבין 40 ל-150 במרווחים של 10 ש״ח.</t>
  </si>
  <si>
    <t>ג. הציגו תרשים המציג את האסטרטגיה באופן מלא, כולל נקודות חיתוך עם הצירים, מקסימום ומינימום.</t>
  </si>
  <si>
    <t>ד. כיצד תשתנה תשובתכם לגבי האסטרטגיה המתאימה למשקיע, אם הוא מאמין לעליית שערים מתונה יחסית?</t>
  </si>
  <si>
    <t>הסבירו באופן מילולי את ההיגיון.</t>
  </si>
  <si>
    <t>ה. מהם היתרונות / החסרונות באסטרטגיה שציינתם בסעיף ד, אל מול החזקה בנכס הבסיס (מניית חזיז ורעם) לתקופה</t>
  </si>
  <si>
    <t xml:space="preserve">קצובה? נמקו. </t>
  </si>
  <si>
    <t>אם נדרשות הבהרות בכתב, פנו אליי במייל shay.tsaban@gmail.com, ואם נדרשת שעת קבלה לליבון יותר אישי</t>
  </si>
  <si>
    <t>ומלא, פנו למתרגל:</t>
  </si>
  <si>
    <t>רמה 3 (ירד מרמה 4 לאור הרלוונטיות הנמוכה של סעיף ב)</t>
  </si>
  <si>
    <t>הקושי היא 4 ולא מתחת.</t>
  </si>
  <si>
    <t xml:space="preserve">שואלים על האופציה, ולא אסטרטגיה משולבת כלשהי (לכן הנתון בדבר היות נכס הבסיס בחזקתי, לא רלוונטי). </t>
  </si>
  <si>
    <t>ההצגה הסכמטית של אופציית Call ברמת הגרף היא בסיסית ביותר כמובן:</t>
  </si>
  <si>
    <t>התמריץ למשקיע קשור למוטיבציה שלו או לציפיה שלו; במקרה זה, לצפי לעליית מחיר המניה, וליכולת שלו להנות</t>
  </si>
  <si>
    <t>מעליית מחירה מעבר לשיעור החשיפה שנוצר אגב ההחזקה בנכס הבסיס. שהרי, במידה ומחזיק במניה בלבד, אכן יהנה</t>
  </si>
  <si>
    <t>מעליית שוויה - אך ההחזקה במקביל באופציית Call מעניקה לו פוטנציאלית רווח נוסף בתרחיש זה, ובשיעורים גבוהים</t>
  </si>
  <si>
    <t xml:space="preserve">יותר לאור המאפיינים של עסקת נגזר (פרמיה נמוכה ביחס לעלות השקעה ישירה בנכס הבסיס). </t>
  </si>
  <si>
    <t>להלן התרשים המדבר בעד עצמו - הואיל וקונים Put שמחיר המימוש שלו נמוך מזה של ה - Call אשר רוכשים,</t>
  </si>
  <si>
    <t>ניתן לאפיין בזריזות רבה קניית שוקת:</t>
  </si>
  <si>
    <t xml:space="preserve">P&amp;L = (1880 - 1800) * 100 - 900 + (1880 - 1700) * 100 - 1850 = </t>
  </si>
  <si>
    <t>משוואת הפתרון היא:</t>
  </si>
  <si>
    <t>כדי להקל על הליך הפיתוח נוח לי לחלק את שני האגפים ב- 10,000:</t>
  </si>
  <si>
    <t>3.9 - 0.18 + 3.8 - 0.11 = 0.24</t>
  </si>
  <si>
    <t>או בעצם לטענה הבאה:</t>
  </si>
  <si>
    <t>7.41 = 0.24</t>
  </si>
  <si>
    <t>המשך הפיתוח מוביל למשפט הבא (כי ה - st מצטמצם / נמחק):</t>
  </si>
  <si>
    <t xml:space="preserve">כמובן שזה משפט שקר, שלא יתקיים באף מחיר שוק, קרי באף st, כי הוא לא תלוי ב - st. לכן למעשה אין פתרון - </t>
  </si>
  <si>
    <t>לא קיים שער דולר שיוביל לערך רווח כאמור.</t>
  </si>
  <si>
    <t>אם הציפיה היא לירידת שערים אך מעוניינים להגביל הפסד במידה והתחזית לא תתממש, האסטרטגיה המתאימה היא</t>
  </si>
  <si>
    <t>מרווח יורד. לשם יישומה נקנה Put שמחיר המימוש שלה גבוה, ונכתוב Put שמחיר המימוש שלה נמוך.</t>
  </si>
  <si>
    <t>Long P50</t>
  </si>
  <si>
    <t>Short P30</t>
  </si>
  <si>
    <t>אחת הסיבות בעטייה סיווגתי שאלה זו כרמת קושי ״5״ נובעת מכך שהטבלה לעיל היא בטווח מחירים שאיננו ״מתכתב״</t>
  </si>
  <si>
    <t>עם תרשים. לא נדרשנו להציג ערכים מ-0, ובהתאם, קצת קשה לנו לראות לאן האסטרטגיה מכוונת, אלא אם כן אנחנו</t>
  </si>
  <si>
    <t>באמת מבינים שיש כאן מרווח יורד ואת משמעותו. ואם מבינים זאת, התרשים הופך לקליל.</t>
  </si>
  <si>
    <t>שימו לב המענה הנדרש פה מילולי בלבד - ללא תחשיב וללא גרף.</t>
  </si>
  <si>
    <t xml:space="preserve">ואם הוא מאמין בעליית שערים מתונה, האסטרטגיה המתאימה היא מרווח עולה, שלשם יישומה יקנה Call </t>
  </si>
  <si>
    <t xml:space="preserve">כי אין אפשרות אחרת באופן יחסי). </t>
  </si>
  <si>
    <t xml:space="preserve">במצב כזה יישא בעלויות פרמיה נמוכות יותר נטו, ועדיין יוכל להנות מעליית שער המניה. </t>
  </si>
  <si>
    <t>זו שאלה פתוחה יותר שאפשר להדיין לגביה ארוכות. ככלל, משקל יינתן לעצם המחיר של רכישת נכס הבסיס;</t>
  </si>
  <si>
    <t>הבטחונות (לאור הכתיבה). התייחסות בסיסית לנקודות אלו המייצגת לבודק את ההבנה העקרונית של ההבחנה</t>
  </si>
  <si>
    <t>בין החזקת נכס בסיס לבין אסטרגיה מגודרת ומוגדרת, יזכו ברוב / כל הניקוד במצב כזה.</t>
  </si>
  <si>
    <t xml:space="preserve">באותו המועד היא רוכשת אופציית Call, בנוסף, על אותה המניה, אבל מחיר המימוש של אופציית ה - Call הוא 90 </t>
  </si>
  <si>
    <t>כדי לייצר טבלה מוגדרת בטווח מחירי סגירה מוגדר (30 עד 130 בערכי st) לא באמת צריך בהכרח להפעיל היגיון בדבר</t>
  </si>
  <si>
    <t>מהות האסטרטגיה ו״מה היא משרתת״. כלומר בסעיפים אלו עיקר המטרה היא להבהיר מה כל רכיב באסטרטגיה,</t>
  </si>
  <si>
    <t>כל אופציה, מספק בנפרד - ומהו סיכום הערכים ברמת רווח / הפסד:</t>
  </si>
  <si>
    <t>Long Put 80</t>
  </si>
  <si>
    <t>Long Call 90</t>
  </si>
  <si>
    <t>טיפים:</t>
  </si>
  <si>
    <t xml:space="preserve">הפסד מירבי בקניית שוקת - בגובה סיכום הפרמיות ששולמו. </t>
  </si>
  <si>
    <t xml:space="preserve">הפסד זה יתקיים בטווח ה - st שהוא בין ערכי מחירי המימוש של האופציות שקונים. </t>
  </si>
  <si>
    <t>רווח מירבי - לא מוגבל.</t>
  </si>
  <si>
    <t>נק׳ חיתוך עם הצירים - לפי שיפועים.</t>
  </si>
  <si>
    <t xml:space="preserve">תזכורת: בגין אופציות על המדד, המכפיל = 100. </t>
  </si>
  <si>
    <t>לכן, כדי לחשב רווח / הפסד מהאסטרטגיה - סיכום הרווח / ההפסד מכל אופציה בנפרד, ובשים לב לכך שמדובר ב-2</t>
  </si>
  <si>
    <t>אופציות Call, ומחיר השוק במימוש / בפקיעה גבוה מתוספת המימוש בשתי האופציות, ניתן לחשב את הרווח הכולל</t>
  </si>
  <si>
    <t>כדלקמן:</t>
  </si>
  <si>
    <t>P&amp;L C1800</t>
  </si>
  <si>
    <t>P&amp;L C1700</t>
  </si>
  <si>
    <t xml:space="preserve">מכפיל </t>
  </si>
  <si>
    <t>אופ׳ מדד</t>
  </si>
  <si>
    <t xml:space="preserve">תשובתי </t>
  </si>
  <si>
    <t>הסופית</t>
  </si>
  <si>
    <t>P&amp;L C3.9</t>
  </si>
  <si>
    <t>P&amp;L P3.8</t>
  </si>
  <si>
    <t xml:space="preserve">הנדרש: </t>
  </si>
  <si>
    <t>שער הדולר</t>
  </si>
  <si>
    <t>מכפיל באופ׳</t>
  </si>
  <si>
    <t>על הדולר</t>
  </si>
  <si>
    <t>הנדרש</t>
  </si>
  <si>
    <t>אופ׳ דולרית</t>
  </si>
  <si>
    <r>
      <t xml:space="preserve">P&amp;L = (st - 3.9) * </t>
    </r>
    <r>
      <rPr>
        <b/>
        <sz val="12"/>
        <color rgb="FFFF0000"/>
        <rFont val="David"/>
      </rPr>
      <t>10000</t>
    </r>
    <r>
      <rPr>
        <b/>
        <sz val="12"/>
        <color theme="1"/>
        <rFont val="David"/>
      </rPr>
      <t xml:space="preserve"> - 1800 + (3.8 - st) * </t>
    </r>
    <r>
      <rPr>
        <b/>
        <sz val="12"/>
        <color rgb="FFFF0000"/>
        <rFont val="David"/>
      </rPr>
      <t>10000</t>
    </r>
    <r>
      <rPr>
        <b/>
        <sz val="12"/>
        <color theme="1"/>
        <rFont val="David"/>
      </rPr>
      <t xml:space="preserve"> - 1100 = 2,400</t>
    </r>
  </si>
  <si>
    <t>st - 3.9 - 0.18 + 3.8 - st - 0.11 = 0.24</t>
  </si>
  <si>
    <t>בשוק ההון נסחרות האופציות הבאות, כולן על מניית ״חזיז ורעם״ (חזיזי ורעם):</t>
  </si>
  <si>
    <t>ספציפית כאן, קיימים נתונים רק לגבי שתי אופציות Put, שמחירי המימוש שלהן 50 ו-30 בהתאמה. הפוזיציות יכללו:</t>
  </si>
  <si>
    <t>קניית Put שמחיר המימוש שלה גבוה</t>
  </si>
  <si>
    <t>כתיבת Put שמחירה המימוש שלה נמוך</t>
  </si>
  <si>
    <t>עם מחיר מימוש נמוך (כאן 90, כי אין אפשרות אחרת באופן יחסי) ויכתוב Call עם מחיר מימוש גבוה (כאן 120,</t>
  </si>
  <si>
    <t>לכתוב Call שמחיר המימוש שלה גבוה ממחיר השוק של המניה</t>
  </si>
  <si>
    <t xml:space="preserve">להתייחסות נוספת - ראו מערך שיעור 9. </t>
  </si>
  <si>
    <t>שיעור החשיפה (גדול יותר במקרה של אופציות), לצד הסיכון הגדול יותר (תאריך מימוש / פקיעה) לצד דרישת</t>
  </si>
  <si>
    <t xml:space="preserve">הבהרת ניסוח שלא נאמרה במקור (ולכן גרמה לקבלת הסברים חלופיים מצדכם): ידוע כי שתי האופציות יחד ולחוד </t>
  </si>
  <si>
    <t>צריכות לתרום ערך למשקיע במסגרת האסטרטגיה.</t>
  </si>
  <si>
    <t>סמסטר 2025 א</t>
  </si>
  <si>
    <t>מרצה: ד״ר שי צבאן</t>
  </si>
  <si>
    <t>מתרגל: מר אופק גראס-טאטן</t>
  </si>
  <si>
    <t>הבחינה שכוללת שאלות פתוחות ובחומר פתוח - תבוסס ברובה על תרגילים בסגנון השיעורים, אך ייתכנו מקרים של הסקה ושיקול דעת.</t>
  </si>
  <si>
    <t xml:space="preserve">אופציה היא חוזה המאפשר לרוכש שלו (לקונה האופציה) </t>
  </si>
  <si>
    <t>לבצע עסקה מסוימת (קניה של נכס / מכירה של נכס)</t>
  </si>
  <si>
    <t>שנקרא נכס בסיס -  במחיר ידוע</t>
  </si>
  <si>
    <t>תזכורת: מורן רכשה משי זכות שמבטיחה לה את האפשרות</t>
  </si>
  <si>
    <t>לקנות משי מחשב במחיר קבוע</t>
  </si>
  <si>
    <t>נמחיש כעת את התזרים (CF ברוטו) ואת הרווח / ההפסד לקונה האופציה במצבים שונים (במחירי שוק שונים):</t>
  </si>
  <si>
    <t>בתאריך</t>
  </si>
  <si>
    <t>הפקיעה</t>
  </si>
  <si>
    <t>תוספת</t>
  </si>
  <si>
    <t>המימוש</t>
  </si>
  <si>
    <t>סטרייק</t>
  </si>
  <si>
    <t>האם כדאי</t>
  </si>
  <si>
    <t>לממש כן/לא</t>
  </si>
  <si>
    <t>לפי CF</t>
  </si>
  <si>
    <t>בניכוי פרמיה</t>
  </si>
  <si>
    <t xml:space="preserve">תזכורת: </t>
  </si>
  <si>
    <t>הפרמיה היא הסכום ששולם</t>
  </si>
  <si>
    <t>היסטורית בעד האופציה,</t>
  </si>
  <si>
    <t>כאן נתון - 20</t>
  </si>
  <si>
    <t>סימונים אפשריים:</t>
  </si>
  <si>
    <t>c</t>
  </si>
  <si>
    <t>עלות (cost)</t>
  </si>
  <si>
    <t xml:space="preserve">עמודה 1: טווח מחירי השוק האפשריים - כאן בחרנו בין 60 ל-140 (באופן כללי, נפעל לפי הגדרות השאלה). </t>
  </si>
  <si>
    <t xml:space="preserve">עמודה 2: עמודת עזר, מציגה את תוספת המימוש - כמה צריך לשלם בנוסף כדי לקבל את הנכס (דרך האופציה). </t>
  </si>
  <si>
    <t>עמודה 3: מתי מממשים את האופציה? רק באותם מחירים (שורות) שבהן: st&gt;x</t>
  </si>
  <si>
    <t>עמודה 4: תזרים בפקיעה:</t>
  </si>
  <si>
    <t>א. אם לא מממשים את האופציה = 0</t>
  </si>
  <si>
    <t xml:space="preserve">ב. אם מממשים את האופציה = </t>
  </si>
  <si>
    <t>עמודה 5: רווח / הפסד:</t>
  </si>
  <si>
    <t>ההפרש בין התזרים (CF) לבין הפרמיה, כלומר:</t>
  </si>
  <si>
    <t>P&amp;L = CF - premium</t>
  </si>
  <si>
    <t>סיכום תהליך העבודה - טיפול בחישוב רווח והפסד מנקודת ראות משקיע שמחזיק (קנה) אופציית CALL:</t>
  </si>
  <si>
    <t>תרגיל מס׳ 2 - תרגול עצמי לבית</t>
  </si>
  <si>
    <t>מבוא לאופציות, דגש על מטרות השימוש בהן, ודיון מעשי באופציית Call - הבסיס</t>
  </si>
  <si>
    <t xml:space="preserve">לחזור על החומר בעיקר + תרגיל 2 שצירפתי לו פתרון מלא בתחתית גיליון Lecture 1. לא להגשה. </t>
  </si>
  <si>
    <t>המשך דיון באופציות כולל הצגה גרפית</t>
  </si>
  <si>
    <t>תרגיל 1 - אופציות Call עם גרף רווח / הפסד ומשמעותו, שמהווה המשך לתרגיל משיעור קודם</t>
  </si>
  <si>
    <t xml:space="preserve">אופציה איננה מניה; היא מכשיר פיננסי המקנה זכות לנכס בסיס, שיכול להיות מניה (או נכס בסיס אחר). </t>
  </si>
  <si>
    <t>ומצדו, הוא מתחייב למסור מניה במחיר שנקבע באופציית הCall לפי ה-strike.</t>
  </si>
  <si>
    <t xml:space="preserve">הצד הנגדי נקרא גם ״כותב האופציה״. </t>
  </si>
  <si>
    <t>כאשר דנים באופציות Call, כותב האופציה לוקח על עצמו סיכונים איומים. לכן, כתיבת אופציות מלווה בחתימה</t>
  </si>
  <si>
    <t>על הסכמים דרקוניים יחסית ודרישת ביטחונות להבטחת כיסוי מצד הכותב.</t>
  </si>
  <si>
    <t xml:space="preserve">למה הכוונה? נמחיש עם תרגיל רלווטי. </t>
  </si>
  <si>
    <t>תרגיל 3 - קניית וכתיבת אופציית Call</t>
  </si>
  <si>
    <t xml:space="preserve">את האופציה כתב עידו קוז׳יקרו. </t>
  </si>
  <si>
    <t>המתרגל אופק גראס-טאטן רכש אופציית Call על מניה. מחיר המימוש הוא 40 ש״ח ובעד האופציה שילם מר גראס-טאטן</t>
  </si>
  <si>
    <t xml:space="preserve">סכום של 10 ש״ח. </t>
  </si>
  <si>
    <t>לאחר מכן, הציגו את גרף התזרים בפקיעה ואת גרף הרווח / ההפסד של כל אחד מהם, ועל בסיסו הסבירו מדוע</t>
  </si>
  <si>
    <t xml:space="preserve">קיימת דרישת ביטחונות (שנובעת מסיכון גבוה) כנגד עידו קוז׳יקרו. </t>
  </si>
  <si>
    <t>מבוא לכתיבת אופציות, תחשיבים ואיור רלוונטי, והסיכון הגלום בכתיבה עירומה (יישום ב Call)</t>
  </si>
  <si>
    <t xml:space="preserve">מסויים, שהיא חזקה וגדולה הרבה יותר מזו הנוצרת מרכישה של נכס הבסיס באותו סכום״. </t>
  </si>
  <si>
    <t>על בסיס הממצאים שקיבלתם, הסבירו את המשפט שציין הדוקטור, שאומר ״אופציות Call הן כלי ליצירת חשיפה לנכס</t>
  </si>
  <si>
    <t xml:space="preserve">ג. ככל שנספיק - קניית אופציית Put, ברמת המהות, ברמה תזרימית, ברמת הרווח וברמה גרפית - ודיון בכתיבתה (הצד הנגדי). </t>
  </si>
  <si>
    <t>מממשים</t>
  </si>
  <si>
    <t>קרי:</t>
  </si>
  <si>
    <t>כשבשוק זה</t>
  </si>
  <si>
    <t>שווה יותר</t>
  </si>
  <si>
    <t>מתוספת המימוש</t>
  </si>
  <si>
    <t>לא מממשים</t>
  </si>
  <si>
    <t>כן ממשים</t>
  </si>
  <si>
    <t>לא הרווח</t>
  </si>
  <si>
    <t>רווח / הפסד:</t>
  </si>
  <si>
    <t xml:space="preserve">בניכוי </t>
  </si>
  <si>
    <t>הפרמיה</t>
  </si>
  <si>
    <t>שהיא עלות</t>
  </si>
  <si>
    <t>האופציה</t>
  </si>
  <si>
    <t>במימוש:</t>
  </si>
  <si>
    <t>ובפקיעה:</t>
  </si>
  <si>
    <r>
      <rPr>
        <sz val="12"/>
        <color rgb="FF00B050"/>
        <rFont val="David"/>
      </rPr>
      <t>P&amp;L</t>
    </r>
    <r>
      <rPr>
        <sz val="12"/>
        <color theme="1"/>
        <rFont val="David"/>
      </rPr>
      <t>=CF-premium</t>
    </r>
  </si>
  <si>
    <t>בהתאם, כדי לרכוש זכות לנכס כזה (למשל, אופציית Call על מניה), צריך להיות צד נגדי, שלמעשה יתחייב לעסקה</t>
  </si>
  <si>
    <r>
      <t xml:space="preserve">הציגו את הרווח / ההפסד, כמותית, בטווח מחירי סגירה שבין 0 ל-100, </t>
    </r>
    <r>
      <rPr>
        <b/>
        <sz val="12"/>
        <color theme="1"/>
        <rFont val="David"/>
      </rPr>
      <t>לכל אחד מהצדדים לעסקה במרווחים של 10.</t>
    </r>
  </si>
  <si>
    <r>
      <t>ערכי תזרים ורווח - עידו קוז׳יקרו (</t>
    </r>
    <r>
      <rPr>
        <b/>
        <sz val="12"/>
        <color theme="1"/>
        <rFont val="David"/>
      </rPr>
      <t>הכותב</t>
    </r>
    <r>
      <rPr>
        <sz val="12"/>
        <color theme="1"/>
        <rFont val="David"/>
      </rPr>
      <t>)</t>
    </r>
  </si>
  <si>
    <t>הקונה הוא בעל הזכות</t>
  </si>
  <si>
    <t>הוא יקבע אם יש או אין מימוש</t>
  </si>
  <si>
    <r>
      <t xml:space="preserve">ערכי תזרים ורווח - גראס טאטן </t>
    </r>
    <r>
      <rPr>
        <b/>
        <sz val="12"/>
        <color theme="1"/>
        <rFont val="David"/>
      </rPr>
      <t>(הקונה)</t>
    </r>
  </si>
  <si>
    <t>נציג גרף רווח והפסד עבור הקונה (מחזיק ב long call):</t>
  </si>
  <si>
    <t>נציג גרף רווח והפסד עבור הכותב (מחזיק ב short call):</t>
  </si>
  <si>
    <t>עד כאן הגענו בשיעור 2. ההמשך יעובד לקראת שיעור 3.</t>
  </si>
  <si>
    <t>לחזור על אופן השרטוט של הגרפים הרלוונטיים. לוודא שההגדרות ברורות</t>
  </si>
  <si>
    <t>ניתן לרכוש היום אופציית Call על מניית Boobon בעלות של 10 ש״ח.</t>
  </si>
  <si>
    <t xml:space="preserve">האופציה מאפשרת לרכוש את המניה בתמורה לתשלום תוספת מימוש של 50 ש״ח. </t>
  </si>
  <si>
    <t>הציגו את הרווח / ההפסד מהאופציה בטווח מחירי שוק שבין 0 ל-100, ובטאו אותו כאחוזים מסכום ההשקעה.</t>
  </si>
  <si>
    <t>לאחר מכן, הציגו את הרווח / ההפסד ממי שרכש את המניה היום בתמורה ל-50 ש״ח והוא מתכנן למכור אותה</t>
  </si>
  <si>
    <t xml:space="preserve">במחיר השוק בעתיד, ובטאו גם אותו באחוזים. </t>
  </si>
  <si>
    <t>תרגיל 1 - משמעות החשיפה הנובעת מקניה / כתיבת אופציית Call - עקרון המינוף</t>
  </si>
  <si>
    <t>אופציות ומכשירים פיננסיים מתוחכמים - הרצאה 3 - עקרון החשיפה המוגברת בנגזרים,PUT</t>
  </si>
  <si>
    <t xml:space="preserve">נדון ב״עקרון החשיפה המוגברת״ (המינוף המושג אגב רכישת אופציות חלף רכישת נכס הבסיס). </t>
  </si>
  <si>
    <t xml:space="preserve">נציג את מהותן של אופציות PUT. </t>
  </si>
  <si>
    <t>ברוטו</t>
  </si>
  <si>
    <t>CF - Call Long (רוכש)</t>
  </si>
  <si>
    <t>if st (מחיר שוק) &lt; x (תוספת המימוש) then CF = 0</t>
  </si>
  <si>
    <t>if st (מחיר שוק) &gt; x (תוספת המימוש) then CF = st - x</t>
  </si>
  <si>
    <t>P&amp;L = CF (תזרים ברוטו) - premium (עלות האופציה)</t>
  </si>
  <si>
    <t xml:space="preserve">עלות </t>
  </si>
  <si>
    <t>באחוזים</t>
  </si>
  <si>
    <t>P&amp;L Margin</t>
  </si>
  <si>
    <t>P&amp;L/premium</t>
  </si>
  <si>
    <t>מניה</t>
  </si>
  <si>
    <t xml:space="preserve">רווח </t>
  </si>
  <si>
    <t>השקעה באופציית Call על המניה</t>
  </si>
  <si>
    <t>השקעה במניה עצמה</t>
  </si>
  <si>
    <t>בתמצית:</t>
  </si>
  <si>
    <t>הרווחים / ההפסדים באחוזים הנובעים משינוי נתון במחיר המניה - יהיו גבוהים משמעותית (בערך מוחלט) מאלו הנוצרים בעקבות השקעה ישירה</t>
  </si>
  <si>
    <t xml:space="preserve">במניה. </t>
  </si>
  <si>
    <t xml:space="preserve">המשמעות היא שאם אני מאמין שמחיר המניה יעלה, ומשאביי מוגבלים - ארצה להשקיע באופציה ולא במניה. </t>
  </si>
  <si>
    <t xml:space="preserve">ואם הרווח / ההפסד באחוזים הוא משמעותית יותר ״חזק״ כתוצאה מהשקעה באופציה, אנו טוענים שהחשיפה לנכס הבסיס (לשינויים במחיר </t>
  </si>
  <si>
    <t xml:space="preserve">המניה) אשר נוצרת כתוצאה מהשקעה באופציה היא גבוהה יותר. </t>
  </si>
  <si>
    <t>(היסטורית)</t>
  </si>
  <si>
    <t>נתון:</t>
  </si>
  <si>
    <t>תרגיל 2 - קניית אופציית Put</t>
  </si>
  <si>
    <t>long Put (רכישת אופציית Put)</t>
  </si>
  <si>
    <t>CF:</t>
  </si>
  <si>
    <t>if st(מחיר השוק) &lt; x (מחיר מימוש)</t>
  </si>
  <si>
    <t>then: CF = x - st</t>
  </si>
  <si>
    <t>else: CF = 0</t>
  </si>
  <si>
    <t>P&amp;L:</t>
  </si>
  <si>
    <t>CF - Premium (עלות האופציה)</t>
  </si>
  <si>
    <t>תרגיל 3 - קניית אופציית Put</t>
  </si>
  <si>
    <t>יובל למד על אופציות Put והוא מעוניין לתכנן את תיק ההשקעות הספקולטיבי שלו</t>
  </si>
  <si>
    <t xml:space="preserve">על בסיס אופציה כזו. </t>
  </si>
  <si>
    <t xml:space="preserve">לשם כך, רכש אופציית Put על מניית Apple בעלות של 15 דולר. </t>
  </si>
  <si>
    <t xml:space="preserve">האופציה מקנה את הזכות למכור את מניית Apple בתמורה ל-200 דולר עד </t>
  </si>
  <si>
    <t xml:space="preserve">למועד הפקיעה. </t>
  </si>
  <si>
    <t>נדרש: בהנחה שמחיר השוק של המניה במועד האחרון למימוש עלול לנוע, לפי</t>
  </si>
  <si>
    <t>ציפיות אנליסטים בין 150 דולר ל-250 דולר למניה, חשבו והציגו את הרווח / ההפסד</t>
  </si>
  <si>
    <t>בערכים כספיים (בדולרים), באחוזים, וכן הציגו באופן גרפי את התזרים בפקיעה</t>
  </si>
  <si>
    <t>ואת הרווח / ההפסד.</t>
  </si>
  <si>
    <t>סיכומון:</t>
  </si>
  <si>
    <t>גרף ה-CF של קניית אופציית Put:</t>
  </si>
  <si>
    <t>חיתוך עם ציר אנכי = מחיר המימוש x</t>
  </si>
  <si>
    <t>חיתוך עם ציר אופקי = מחיר המימוש x</t>
  </si>
  <si>
    <t>הגרף מתלכד עם הציר האופקי עבור ערכי st</t>
  </si>
  <si>
    <t>זהים או גבוהים ממחיר המימוש x</t>
  </si>
  <si>
    <t>הגרף יורד משמאל לימין - ואפשר להביט על כך</t>
  </si>
  <si>
    <t>כעלייה מימין לשמאל - כדי לבטא את העובדה שדווקא ירידה (שמאלה) מגדילה את התזרים למשקיע.</t>
  </si>
  <si>
    <t>גרף P&amp;L של קניית אופציית Put:</t>
  </si>
  <si>
    <t xml:space="preserve">זהה לגרף ה-CF, בניכוי עלות האופציה (הפרמיה) לכל אורך הגרף. </t>
  </si>
  <si>
    <t xml:space="preserve">ההפסד מתקבע בגובה הפרמיה עבור ערכי st שזהים או גבוהים למחיר המימוש x, </t>
  </si>
  <si>
    <t xml:space="preserve">חיתוך עם ציר אופקי - מחיר המימוש בניכוי הפרמיה. </t>
  </si>
  <si>
    <t>חיתוך עם ציר אנכי - מחיר המימוש בניכוי הפרמיה</t>
  </si>
  <si>
    <t>שיעורי בית לא להגשה למפגש 3 - סמסטר 2025 א</t>
  </si>
  <si>
    <t>תרגיל 1 - שיעורי בית לא להגשה - קיים פתרון</t>
  </si>
  <si>
    <t>תרגיל 2 - שיעורי בית לא להגשה - קיים פתרון</t>
  </si>
  <si>
    <t>תרגיל 3 - שיעורי בית לא להגשה - קיים פתרון</t>
  </si>
  <si>
    <t>בנו טבלה עם העמודות הבאות:</t>
  </si>
  <si>
    <t>ב. הרווח / ההפסד הצפוי מקניית אופציית Put על המניה, אם ידוע שמחיר המימוש שלה 70 ש״ח ועלות האופציה 10 ש״ח.</t>
  </si>
  <si>
    <t>ב. הרווח / ההפסד הצפוי מקניית אופציית Call על המניה, אם ידוע שמחיר המימוש שלה 70 ש״ח ועלות האופציה 15 ש״ח.</t>
  </si>
  <si>
    <t xml:space="preserve">הבהרה: אין לשלב. יש לדון בכל רכיב בנפרד. </t>
  </si>
  <si>
    <t>long put 70</t>
  </si>
  <si>
    <t>long call 70</t>
  </si>
  <si>
    <t>buying share</t>
  </si>
  <si>
    <t xml:space="preserve">ג. הרווח / ההפסד הצפוי מקניית המניה עצמה, במידה ונרכשה היום ב-70 ש״ח. </t>
  </si>
  <si>
    <t xml:space="preserve">א. מחיר מניה - בטווח שבין 0 ל-150, במרווחים של 10. </t>
  </si>
  <si>
    <t>מעודכן סופי</t>
  </si>
  <si>
    <t>החשיפה המורכבת מאופציות, דיון ב-PUT</t>
  </si>
  <si>
    <t>תרגילים המופיעים בסוף מערך השיעור בגיליון Lecture 3 New</t>
  </si>
  <si>
    <t>אופציות ומכשירים פיננסיים מתוחכמים - הרצאה 4 - כתיבת אופציות ומושג המכפיל</t>
  </si>
  <si>
    <t>נושא חדש: אופציות על הדולר, על מדדי מניות - המכפיל, וחישוב ישיר של רוו״ה</t>
  </si>
  <si>
    <t>מושג המכפיל יורחב בהמשך.</t>
  </si>
  <si>
    <t>קניית אופציה</t>
  </si>
  <si>
    <r>
      <t xml:space="preserve">long </t>
    </r>
    <r>
      <rPr>
        <b/>
        <sz val="12"/>
        <color rgb="FFFF0000"/>
        <rFont val="David"/>
      </rPr>
      <t>C</t>
    </r>
    <r>
      <rPr>
        <sz val="12"/>
        <color theme="1"/>
        <rFont val="David"/>
      </rPr>
      <t>100</t>
    </r>
  </si>
  <si>
    <r>
      <t xml:space="preserve">long </t>
    </r>
    <r>
      <rPr>
        <b/>
        <sz val="12"/>
        <color rgb="FF0070C0"/>
        <rFont val="David"/>
      </rPr>
      <t>P</t>
    </r>
    <r>
      <rPr>
        <sz val="12"/>
        <color theme="1"/>
        <rFont val="David"/>
      </rPr>
      <t>100</t>
    </r>
  </si>
  <si>
    <t>בקצרה: כותב אופציה מקבל היום כסף; ואם בעתיד השינוי במחיר נכס הבסיס איננו מוביל למימושה - הוא נהנה מכל הפרמיה.</t>
  </si>
  <si>
    <t>תרגול נוסף - אופציות - קניה, כתיבה ורמז קטן לגבי אסטרטגיה</t>
  </si>
  <si>
    <t xml:space="preserve">יותם מאמין שלא יהיה בלגן, ולכן כתב אופציית PUT 50 בתמורה לפרמיה של 5, ואופציית CALL 50 בתמורה לפרמיה של 10. </t>
  </si>
  <si>
    <t>מה יהיה הרווח / ההפסד של יותם במחירי מימוש של בין 0 ל-100, במרווחים של 10?</t>
  </si>
  <si>
    <t>סך הכל</t>
  </si>
  <si>
    <t>רווח או</t>
  </si>
  <si>
    <t xml:space="preserve">השוק </t>
  </si>
  <si>
    <t>כמו כן, הציגו גרף לביטוי רווח / הפסד זה.</t>
  </si>
  <si>
    <t>כתיבת short</t>
  </si>
  <si>
    <t>A</t>
  </si>
  <si>
    <t>B</t>
  </si>
  <si>
    <t>A+B</t>
  </si>
  <si>
    <t>הגרף מוצג באופן לא מלא לצורך</t>
  </si>
  <si>
    <t>התרשמות בלבד כרגע;</t>
  </si>
  <si>
    <t>בהמשך נדון לעומק באסטרטגיות</t>
  </si>
  <si>
    <t>משולבות והשלכותיהן הגרפיות</t>
  </si>
  <si>
    <t>סיכום עקרונות יסוד, קנייה כתיבה והבסיס לאסטרטגיות להמשך</t>
  </si>
  <si>
    <t>תרגול נוסף - לתרגול עצמי</t>
  </si>
  <si>
    <t>תרגול נוסף put</t>
  </si>
  <si>
    <t>תרגול נוסף בתחתית הגיליון ״בקטנה״</t>
  </si>
  <si>
    <t>אופציות ומכשירים פיננסיים מתוחכמים - הרצאה 5 - מושג המכפיל ושימושיו לחישוב נקודתי</t>
  </si>
  <si>
    <t>דיון פרקטי פרלימינרי - על בסיס שאלות סטודנטים</t>
  </si>
  <si>
    <t>שאלה: תכל׳ס, איך ניגשים לקנות ולמכור אופציות, איך הן מסומנות?</t>
  </si>
  <si>
    <t>חיפוש פשוט של ״אופציות״ באתרים כגון גלובס, יראה לכם את הקידוד הספציפי של כל אופציה, לחיצה עליה תוביל</t>
  </si>
  <si>
    <t xml:space="preserve">לכל נתוניה - מועד מימוש / פקיעה, לצד משתנים סטטיסטיים חשובים. </t>
  </si>
  <si>
    <t>שאלה: תכל׳ס, איך אופציות נסחרות, הרי אמרת שמדובר בחוזה בין שני צדדים ספציפיים?</t>
  </si>
  <si>
    <t>אופציה כמושג לא מגדיר את הנכס כסחיר או לא סחיר;</t>
  </si>
  <si>
    <t>ניתן בהחלט לרכוש ולמכור אופציות מחוץ לבורסה (עסקאות כאלו אינן נגישות למשקיע הפרטי אלא למוסדיים,</t>
  </si>
  <si>
    <t xml:space="preserve">וקוראים להן עסקאות OTC - Over the Counter). </t>
  </si>
  <si>
    <t>אם אופציה היא סחירה (כמו האופציות בבורסה) - אזי המשמעות היא שכותב האופציה הגדיר אותה כחוזה</t>
  </si>
  <si>
    <t>אלקטרוני דרך פלטפורמה בורסאית מתאימה. ברגע שהחוזה האלקטרוני הוגדר על ידי הכותב, הוא נרכש / נמכר</t>
  </si>
  <si>
    <t>על ידי משקיעים בבורסה.</t>
  </si>
  <si>
    <t>שאלה: אילו סוגי אופציות נפוצות מעבר לאופציות על מניות ועל מט״ח?</t>
  </si>
  <si>
    <t xml:space="preserve">עסקאות נגזר (אופציות) על ריביות. </t>
  </si>
  <si>
    <t>נניח שיש לי חוזה שחתמתי מול לקוח שבמסגרתו הוא מחזיר לי הלוואה בריבית משתנה.</t>
  </si>
  <si>
    <t>ואני חושש שהריבית הזו תרד, וכך התקבולים שלי יקטנו משמעותית.</t>
  </si>
  <si>
    <t xml:space="preserve">ניתן להתקשר בעסקת נגזר שבאמצעותה ניתן יהיה ״להחליף״ את הריבית המשתנה בקבועה. </t>
  </si>
  <si>
    <t xml:space="preserve">כמובן שיש גם נגזרים על סחורות ונכסי בסיס נוספים. </t>
  </si>
  <si>
    <t>שאלה: מדוע משתמשים היום באופציות כדי לגדר את ההשקעות?</t>
  </si>
  <si>
    <t>כל נושא הגידור / נטרול סיכונים / הקטנת תנודתיות בתיקים - הוא הרבה יותר רחב מאשר אופציות ספציפית.</t>
  </si>
  <si>
    <t xml:space="preserve">כאשר קונים אופציה, בהגדרה יוצרים חשיפה מאד גדולה לשינויים בנכס הבסיס. </t>
  </si>
  <si>
    <t>ולמה הכוונה?</t>
  </si>
  <si>
    <t>אופציית PUT יוצרת חשיפה גדולה (ערכה מושפע במידה רבה) משינויים בשווי נכס הבסיס כלפי מטה.</t>
  </si>
  <si>
    <t>אופציית CALL יוצרת חשיפה גדולה (ערכה מושפע במידה רבה) משינויים בשווי נכס הבסיס כלפי מעלה.</t>
  </si>
  <si>
    <t>ובהתאם: אם אני מחזיק בתיק השקעות גדול, ורוצה ליצור מכשיר פיננסי שיפצה אותי במידה משמעותית על ירידות</t>
  </si>
  <si>
    <t>אז קניית אופציית PUT יוכלה לייצר לי גידור רלוונטי.</t>
  </si>
  <si>
    <t>באופן דומה: אם אני חתמתי על הסדר במסגרתו אמסור מניות או נכס בסיס ללקוח בעתיד, אופציית CALL</t>
  </si>
  <si>
    <t xml:space="preserve">תעזור לי למנוע מצב שבו עלייה בשווי המניות הללו תקשה עליי לרכוש אותן לכשיגיע הרגע. </t>
  </si>
  <si>
    <t>אבנר נטל הלוואה מבנק המועלים בריבית משתנה:</t>
  </si>
  <si>
    <t>P + 1.5%</t>
  </si>
  <si>
    <t>נניח 7.5% היום</t>
  </si>
  <si>
    <t xml:space="preserve">במקביל, הבנק חושש מתרחיש של ירידת ריבית משמעותית, שתשפיע על רווחיו. </t>
  </si>
  <si>
    <t>וכעת - הצגת סוגיית המכפילים - מאפיין חשוב, פשוט - באופציות בתכל׳ס (במסחר)</t>
  </si>
  <si>
    <r>
      <t xml:space="preserve">אופציות אלו שהן </t>
    </r>
    <r>
      <rPr>
        <b/>
        <sz val="12"/>
        <color theme="1"/>
        <rFont val="David"/>
      </rPr>
      <t>סחירות בבורסה</t>
    </r>
    <r>
      <rPr>
        <sz val="12"/>
        <color theme="1"/>
        <rFont val="David"/>
      </rPr>
      <t xml:space="preserve"> ועם נפח מסחר יחסית גדול - מקנות זכות לרכוש/למכור </t>
    </r>
    <r>
      <rPr>
        <u/>
        <sz val="12"/>
        <color theme="1"/>
        <rFont val="David"/>
      </rPr>
      <t>יותר</t>
    </r>
    <r>
      <rPr>
        <sz val="12"/>
        <color theme="1"/>
        <rFont val="David"/>
      </rPr>
      <t xml:space="preserve"> מיחידה אחת של נכס הבסיס. </t>
    </r>
  </si>
  <si>
    <t xml:space="preserve">מכפיל: כמה יחידות של מניות / מדד / מט״ח ---&gt; ״מחליפות ידיים״ במידה ועסקת האופציה תמומש. </t>
  </si>
  <si>
    <t xml:space="preserve">המשמעות: המכפיל בגין אופציות מט״ח הוא 10,000. </t>
  </si>
  <si>
    <t xml:space="preserve">באופציות על מדדי מניות, למשל ת״א 35, המכפיל 100 (גם באופציות על מניות בודדות). </t>
  </si>
  <si>
    <t>באופן כללי, אם ארצה לדעת מהו הרווח / ההפסד מהאופציה בתרחיש ספציפי (לא בטבלה שמראה מגוון תרחישים וערכים</t>
  </si>
  <si>
    <t>אפשריים לשווי נכס הבסיס), קיימים שני מסלולים אפשריים:</t>
  </si>
  <si>
    <t>מחיר בשוק (st)</t>
  </si>
  <si>
    <t>מכפיל אופ׳ דולר בעסקה סחירה</t>
  </si>
  <si>
    <t>רוכש האופציה</t>
  </si>
  <si>
    <t>תמיד ״נהנה״</t>
  </si>
  <si>
    <t>מהערך הגבוה</t>
  </si>
  <si>
    <t>מבין שני המסלולים</t>
  </si>
  <si>
    <t>משום שהבחירה</t>
  </si>
  <si>
    <t>האם לממש או לא</t>
  </si>
  <si>
    <t>היא בידיו</t>
  </si>
  <si>
    <r>
      <t xml:space="preserve">כאן: </t>
    </r>
    <r>
      <rPr>
        <b/>
        <sz val="12"/>
        <color theme="1"/>
        <rFont val="David"/>
      </rPr>
      <t>300+</t>
    </r>
  </si>
  <si>
    <t>הכללה - נוסחת רווח / הפסד מאופציות מט״ח בפוזיציית רכישת אופציית CALL:</t>
  </si>
  <si>
    <t>תרגיל - מחשבתי יותר</t>
  </si>
  <si>
    <t>על בסיס מה שלמדת מהכללת הנוסחה לתרגיל קודם, נסה לגבש כלל רלוונטי לחישוב רווח / הפסד מאופציית PUT על הדולר</t>
  </si>
  <si>
    <t>מנקודת ראות קונה האופציה.</t>
  </si>
  <si>
    <t>תרגיל - מחשבתי קליל</t>
  </si>
  <si>
    <t>ידוע שהמכפיל בגין אופציות על מניות ומדדי מניות הוא 100. בכפוף לכך, הציגו במתווה הדומה למבוצע לעיל את הפונקציה</t>
  </si>
  <si>
    <t>הכללית של רווח / הפסד מאופציות על מניות:</t>
  </si>
  <si>
    <t>יישום - מכפילים, נוסחאות חישוב, וחילוץ ערכים</t>
  </si>
  <si>
    <t>עידו רכש אופציית Call על הדולר. מחיר המימוש באופציה הוא 4.13 ש״ח לדולר.</t>
  </si>
  <si>
    <t xml:space="preserve">בעבור האופציה שילם עידו 800 ש״ח. </t>
  </si>
  <si>
    <t>נדרש: מה צריך להיות שער הדולר במועד המימוש / הפקיעה אשר יוביל לכך שעידו יניב תשואה בשיעור 25% על השקעתו?</t>
  </si>
  <si>
    <t>מקרא:</t>
  </si>
  <si>
    <t>הפרמיה / עלות האופציה</t>
  </si>
  <si>
    <t>שער הדולר במימוש / בפקיעה</t>
  </si>
  <si>
    <t>מחיר המימוש באופציה</t>
  </si>
  <si>
    <t>נוסחה רלוונטית לחובבי הז׳אנרה:</t>
  </si>
  <si>
    <t xml:space="preserve">אם יש תשואה חיובית, בוודאות מסלול אי מימוש </t>
  </si>
  <si>
    <t>שמוביל להפסד כל הפרמיה, לא שייך!</t>
  </si>
  <si>
    <t>היחס ביניהם הוא התשואה באחוזים:</t>
  </si>
  <si>
    <t>כדי לחשב רווח באחוזים (תשואה):</t>
  </si>
  <si>
    <t>במונה - הרווח: לפי הנוסחה</t>
  </si>
  <si>
    <t>במכנה - ההשקעה: עלות האופציה</t>
  </si>
  <si>
    <t xml:space="preserve">מסקנה: כאשר המחיר בשוק לדולר בודד הוא 4.23, הרווח הכולל למשקיע, שיהיה 200 ש״ח מהווה 25% מעלות האופציה 800. </t>
  </si>
  <si>
    <t>כלומר עונים להגדרה.</t>
  </si>
  <si>
    <t>תרגילים לתרגול עצמי / שיעורי בית לא להגשה:</t>
  </si>
  <si>
    <t>תרגיל 1 - מושגי יסוד - סוגיית המכפילים</t>
  </si>
  <si>
    <t>תרגיל 2 - הבסיס למכפילים (שיעורי בית לא להגשה)</t>
  </si>
  <si>
    <t>תרגיל 3 - קניית אופציות על מט״ח בטבלה (שיעורי בית לאחר המפגש לא להגשה)</t>
  </si>
  <si>
    <t>תרגיל 5 - אופציות Put בסיסיות (לבית)</t>
  </si>
  <si>
    <t>תרגיל 6 - אופציות Put עם מכפילים (כולל מבוא קצר)</t>
  </si>
  <si>
    <t xml:space="preserve">תרגיל 7 - הבסיס למכפילים </t>
  </si>
  <si>
    <t>עקרונות ועיקרים במכפילים</t>
  </si>
  <si>
    <t>תרגול נוסף בתחתית הגיליון עם פתרונות מלאים</t>
  </si>
  <si>
    <t xml:space="preserve">דיון עיוני בסיסי לגבי הפרקטיקה של השקעות באופציות </t>
  </si>
  <si>
    <t>אופציות - שיעור 6: רענון וחזרה / תרגול מכפילים ונושאים נוספים</t>
  </si>
  <si>
    <t>ראשית, לקראת אמצע הסמסטר - מבנה הבחינה</t>
  </si>
  <si>
    <t>מכשירים נוספים, סוגיות נוספות / ניתוח אירועים (פירוט בהמשך הסמסטר)</t>
  </si>
  <si>
    <t>מנהלות:</t>
  </si>
  <si>
    <t>הבחינה כוללת 5 שאלות פתוחות.</t>
  </si>
  <si>
    <t>אופן ביצוע הבחינה: ידני (אולד סקול, מחברות בחינה).</t>
  </si>
  <si>
    <t>הבחינה בחומר פתוח, וכמובן ניתן להשתמש במחשבון מדעי ו/או פיננסי</t>
  </si>
  <si>
    <t>משך הבחינה: שעתיים וחצי</t>
  </si>
  <si>
    <t>מבנה השאלות / תכנים עיקריים</t>
  </si>
  <si>
    <r>
      <t xml:space="preserve">אסטרטגיות </t>
    </r>
    <r>
      <rPr>
        <b/>
        <sz val="12"/>
        <color theme="1"/>
        <rFont val="David"/>
      </rPr>
      <t>עירומות</t>
    </r>
    <r>
      <rPr>
        <sz val="12"/>
        <color theme="1"/>
        <rFont val="David"/>
      </rPr>
      <t xml:space="preserve"> - שאלה בסיסית על אופציות, קניה, מכירה, מכפיל = 1, טבלה קטנה, גרף בסיסי...</t>
    </r>
  </si>
  <si>
    <r>
      <t xml:space="preserve">אסטרטגיות </t>
    </r>
    <r>
      <rPr>
        <b/>
        <sz val="12"/>
        <color theme="1"/>
        <rFont val="David"/>
      </rPr>
      <t>עירומות</t>
    </r>
    <r>
      <rPr>
        <sz val="12"/>
        <color theme="1"/>
        <rFont val="David"/>
      </rPr>
      <t xml:space="preserve"> - שאלות שכוללות מכפילים, שילובי אופציות בסיסיים, חילוצים...</t>
    </r>
  </si>
  <si>
    <t>מפגשים 1-6</t>
  </si>
  <si>
    <r>
      <t xml:space="preserve">אסטרטגיות </t>
    </r>
    <r>
      <rPr>
        <b/>
        <sz val="12"/>
        <color theme="1"/>
        <rFont val="David"/>
      </rPr>
      <t>משולבות</t>
    </r>
    <r>
      <rPr>
        <sz val="12"/>
        <color theme="1"/>
        <rFont val="David"/>
      </rPr>
      <t xml:space="preserve"> - כולל הסקת מסקנות ושיקול דעת</t>
    </r>
  </si>
  <si>
    <r>
      <t xml:space="preserve">אסטרטגיות </t>
    </r>
    <r>
      <rPr>
        <b/>
        <sz val="12"/>
        <color theme="1"/>
        <rFont val="David"/>
      </rPr>
      <t>משולבות</t>
    </r>
    <r>
      <rPr>
        <sz val="12"/>
        <color theme="1"/>
        <rFont val="David"/>
      </rPr>
      <t xml:space="preserve"> (שילובי אופציות מתוחכמים למטרות מוגדרות) - שבהן סוג האסטרטגיה מוגדר / מורכב</t>
    </r>
  </si>
  <si>
    <t>מפגשים 7-12</t>
  </si>
  <si>
    <t>כעת - לתוכן עצמו - רענון, חזרה - ובעיקר תרגול - אופציות בהינתן מכפילים</t>
  </si>
  <si>
    <t xml:space="preserve">גנדוני רכש אופציה על הדולר אשר מחיר המימוש שלה 4.2 ש״ח לדולר. עלות האופציה היא 800 ש״ח. </t>
  </si>
  <si>
    <t>ידוע ששער הדולר במועד המימוש / הפקיעה 4.4 ש״ח לדולר.</t>
  </si>
  <si>
    <t xml:space="preserve">האופציה שנרכשה היא מסוג אופציית רכש (Call). </t>
  </si>
  <si>
    <t>נדרש: מהו הרווח / ההפסד של גנדוני מהאופציה?</t>
  </si>
  <si>
    <t>הנוסחה ה״מקוצרת״ לרווח / הפסד מקניית אופציית Call על מט״ח (כאן - דולר) היא:</t>
  </si>
  <si>
    <t xml:space="preserve">כמובן, שהערך הגבוה יותר יינתן למשקיע במסלול המימוש (התחתון) בהשוואה למסלול הפקיעה (העליון). </t>
  </si>
  <si>
    <t>P&amp;L = (4.4 - 4.2) * 10,000 - 800 = 1,200</t>
  </si>
  <si>
    <t>לכן, הרווח מהעסקה:</t>
  </si>
  <si>
    <t>שאלה 1 - חישוב רווח / הפסד מאופציית Call בנוסחה מקוצרת וללא טבלה עבור מחיר מסוים</t>
  </si>
  <si>
    <t xml:space="preserve">שאלה 2 - חילוץ ערכים בגין אופציית Call בנוסחה מקוצרת </t>
  </si>
  <si>
    <t xml:space="preserve">אפיק רכש אופציית Call על הפאונד הבריטי אשר מחיר המימוש שלה 5.4 ש״ח לפאונד. </t>
  </si>
  <si>
    <t xml:space="preserve">מחיר האופציה (עלותה) 1,000 ש״ח. </t>
  </si>
  <si>
    <t>מה צריך להיות שער הפאונד במועד המימוש / הפקיעה (בש״ח) על מנת שרווחיו של אפיק מהעסקה יסתכמו ב-400 ש״ח.</t>
  </si>
  <si>
    <t>למעשה, למשקיע יש אפשרות לבחור לא לממש</t>
  </si>
  <si>
    <t xml:space="preserve">ובכך להפסיד 1,000. </t>
  </si>
  <si>
    <t>אך בהינתן שהמטרה היא להרוויח, כמובן שהמסלול</t>
  </si>
  <si>
    <t xml:space="preserve">היחידי שיאפשר ערך חיובי כזה הוא ה״מסלול השני״, קרי השורה התחתונה / מסלול המימוש. </t>
  </si>
  <si>
    <t>(st - 5.4) * 10,000 - 1,000 = 400</t>
  </si>
  <si>
    <t>st - 5.4 = 0.14</t>
  </si>
  <si>
    <t>st = 5.54</t>
  </si>
  <si>
    <t>נשווה בין הרווח הנדרש לנוסחת מסלול המימוש:</t>
  </si>
  <si>
    <t>נקבל את שער הפאונד שיוביל לכך - תשובה סופית:</t>
  </si>
  <si>
    <t>נעביר אגפים ונשחק</t>
  </si>
  <si>
    <t xml:space="preserve">שאלה 3 - חילוץ ערכים בגין כתיבת אופציית Call בנוסחה מקוצרת </t>
  </si>
  <si>
    <t xml:space="preserve">יאיר אוהב להפסיד באופציות. ״חיים רק פעם אחת״ יאיר אמר, לאחר שהפסיד 15,000 ש״ח נוספים. </t>
  </si>
  <si>
    <t xml:space="preserve">ההפסד נוצר כתוצאה מכתיבה של 5 אופציות על הדולר, אשר מחיר המימוש שלהן 4.1 ש״ח לדולר (אופציות Call). </t>
  </si>
  <si>
    <t xml:space="preserve">הפרמיה שנתקבלה בעד כל אופציה היא 1,000 ש״ח. </t>
  </si>
  <si>
    <t>אם ידוע שכל ההפסד של יאיר נבע כתוצאה מעסקה זו - מה היה שער הדולר במועד המימוש / הפקיעה של האופציות?</t>
  </si>
  <si>
    <t>מסלול ״פשוט״ - נחשב כאילו מדובר בקניית אופציות</t>
  </si>
  <si>
    <t>והתוצאה, בסימן הפוך, היא הרווח / ההפסד של הכותב</t>
  </si>
  <si>
    <t>קודם כל: ככותבים, אנו מקבלים (פלוס) ולא משלמים את הפרמיה.</t>
  </si>
  <si>
    <t xml:space="preserve">לכן, הפרמיה מופיעה בסימן חיובי בשני מסלולי החישוב. </t>
  </si>
  <si>
    <t xml:space="preserve">הביטוי הזה: </t>
  </si>
  <si>
    <t>משקף את העובדה שאם יהיה מימוש, הכותב מקבל מקונה האופציה</t>
  </si>
  <si>
    <t>את מחיר המימוש - x (לכן, ה-x בסימן חיובי) והוא נותן בתמורה</t>
  </si>
  <si>
    <t>ולכן בסימן שלילי מט״ח ששוויו העדכני st (בסימן שלילי).</t>
  </si>
  <si>
    <t>מסלול ״מורכב״ (ראו הסבר להלן):</t>
  </si>
  <si>
    <r>
      <t xml:space="preserve">נוסחת רווח / הפסד </t>
    </r>
    <r>
      <rPr>
        <b/>
        <sz val="12"/>
        <color theme="1"/>
        <rFont val="David"/>
      </rPr>
      <t>מרכישת</t>
    </r>
    <r>
      <rPr>
        <sz val="12"/>
        <color theme="1"/>
        <rFont val="David"/>
      </rPr>
      <t xml:space="preserve"> אופציית Call:</t>
    </r>
  </si>
  <si>
    <t>שתי גרסאות (בחרו בנוחה והמתאימה לכם) לחישוב רווח / הפסד מכתיבת אופציית Call על מטבע חוץ:</t>
  </si>
  <si>
    <t>הרווח / ההפסד</t>
  </si>
  <si>
    <t>הנתון מהעסקה: 15,000</t>
  </si>
  <si>
    <r>
      <t xml:space="preserve">בגין כתיבת </t>
    </r>
    <r>
      <rPr>
        <sz val="12"/>
        <color rgb="FFFF0000"/>
        <rFont val="David"/>
      </rPr>
      <t>5</t>
    </r>
    <r>
      <rPr>
        <sz val="12"/>
        <color theme="1"/>
        <rFont val="David"/>
      </rPr>
      <t xml:space="preserve"> אופציות</t>
    </r>
  </si>
  <si>
    <t>ניתן לבטא רווח / הפסד זה בתור</t>
  </si>
  <si>
    <t>״מינוס״ התוצאה של הרווח מקניית 5</t>
  </si>
  <si>
    <t>האופציות</t>
  </si>
  <si>
    <t>ניקח את החלק הימני של הפיתוח:</t>
  </si>
  <si>
    <t>נחלק את שני האגפים ב: 5-</t>
  </si>
  <si>
    <t>הדרך להגיע לערך חיובי של 3,000 בעקבות הפיתוח היא במסלול התחתון בלבד:</t>
  </si>
  <si>
    <t>ננסה לבצע את אותו תהליך - מנקודת ראות הכותב ״ישירות״ על בסיס הנוסחה הישירה של כתיבת Call:</t>
  </si>
  <si>
    <t>מדובר ב-5 אופציות Call שכתבנו</t>
  </si>
  <si>
    <t>מחיר המימוש 4.1 ש״ח לדולר</t>
  </si>
  <si>
    <t>הפסד כולל מ-5 האופציות: 15,000 ש״ח</t>
  </si>
  <si>
    <t>פרמיה שנתקבלה בעד כתיבת כל אופציה: 1,000 ש״ח</t>
  </si>
  <si>
    <t>תמצית ביניים - ״ד״ר צבאן, אפשר את זה בקצר?״</t>
  </si>
  <si>
    <t>אשתדל:</t>
  </si>
  <si>
    <t>כתיבת אופציות מט״ח - אם אני יודע שקיים הפסד, חייבות להתכנס ל״מסלול התחתון״:</t>
  </si>
  <si>
    <t xml:space="preserve">יתירה מכך - גם אם הרווחתי פחות מסכום הפרמיה הכולל בעסקה - זו תהיה נוסחת הפתרון. </t>
  </si>
  <si>
    <t xml:space="preserve">אם קיים רווח בגובה הפרמיה - אזי אני במסלול העליון. </t>
  </si>
  <si>
    <t>שאלה ליישום המסלול המקוצר בחילוץ נתונים באופציות מט״ח - Call שכותבים - ליהי</t>
  </si>
  <si>
    <t xml:space="preserve">ליהי כתבה 8 אופציות Call על הדולר וקיבלה בעבור כל אחת מהן פרמיה של 600 ש״ח. </t>
  </si>
  <si>
    <t xml:space="preserve">מחיר המימוש באופציה הוא 3.7 ש״ח לדולר. </t>
  </si>
  <si>
    <t xml:space="preserve">מהו שער הדולר במועד המימוש / הפקיעה, אם ידוע שליהי הרוויחה בעסקה 2,400 ש״ח בסך הכל. </t>
  </si>
  <si>
    <t xml:space="preserve">ליהי קיבלה פרמיה של 600 ש״ח בעד כל אופציה, והיא כתבה בסך הכל 8 אופציות. </t>
  </si>
  <si>
    <t xml:space="preserve">לכן, סך תקבולי הפרמיה בכתיבה: 4,800 = 600 * 8. </t>
  </si>
  <si>
    <t>מנקודת ראות כותב אופציות Call, אם הרווחים נמוכים מסך תקבולי הפרמיה, הנוסחה הרלוונטית:</t>
  </si>
  <si>
    <t>נציב ונגלה:</t>
  </si>
  <si>
    <t xml:space="preserve">מסקנה: שער הדולר אשר יוביל את ליהי לרווח של 2,400 כתוצאה מהעסקה הוא 3.73 ש״ח לדולר. </t>
  </si>
  <si>
    <t>החישוב של סך תקבולי הפרמיה אל מול השוואתו לרווח הכולל הנתון - מאפשר לנו לגלות האם היה / לא היה מימוש,</t>
  </si>
  <si>
    <t>ובהתאם מהי הנוסחה הרלוונטית.</t>
  </si>
  <si>
    <t xml:space="preserve">ספציפית: הואיל והרווח הנתון 2,400 נמוך מתקבולי הפרמיה 4,800, ברור שהיה מימוש של האופציה. </t>
  </si>
  <si>
    <t>ואז:</t>
  </si>
  <si>
    <t>להרצאה זו אין הקלטה (תקלה טכנית) אבל יש סיכום מלא וחזרנו על התכנים העיקריים</t>
  </si>
  <si>
    <t>במפגשים 6-7 בדרך של תרגול</t>
  </si>
  <si>
    <t xml:space="preserve">נוסחאות רווח / הפסד מקנייה / כתיבת Call </t>
  </si>
  <si>
    <t>כולל יישום כמותי והתנסות כיתה</t>
  </si>
  <si>
    <t>כולל חילוצי ערכים</t>
  </si>
  <si>
    <t>אין. יינתן תרגול משמעותי יותר אחרי שנבצע המחשות נוספות בנושא במפגש הבא.</t>
  </si>
  <si>
    <t>Lecture 6 New</t>
  </si>
  <si>
    <t>Lecture 5 New</t>
  </si>
  <si>
    <t>אופציות ומכשירים פיננסיים מתוחכמים - הרצאה 7 - אסטרטגיות משולבות</t>
  </si>
  <si>
    <r>
      <t xml:space="preserve">לכן, כדי לגדר את החשיפה ולמנוע הפסדים משמעותיים, מקובלות במידה רבה </t>
    </r>
    <r>
      <rPr>
        <b/>
        <sz val="12"/>
        <color theme="1"/>
        <rFont val="David"/>
      </rPr>
      <t>אסטרטגיות</t>
    </r>
    <r>
      <rPr>
        <sz val="12"/>
        <color theme="1"/>
        <rFont val="David"/>
      </rPr>
      <t xml:space="preserve"> מורכבות יותר, שתכליתן</t>
    </r>
  </si>
  <si>
    <t>שאלה 0 - המחשה בסיסית - קניית אוכף</t>
  </si>
  <si>
    <t xml:space="preserve">בשוק נסחרות 2 אופציות על מניית ״אפיק״ בע״מ, שהמכפיל שלהן 1: </t>
  </si>
  <si>
    <t>אופציית Call 50 - שהפרמיה בעדה 10 ש״ח</t>
  </si>
  <si>
    <t>אופציית Put 50 - שהפרמיה בעדה 8 ש״ח</t>
  </si>
  <si>
    <t xml:space="preserve">א. הציגו בטבלה את הרווח / ההפסד מכל אופציה בנפרד ושילוב, בטווח מחירי סגירה שבין 0 ל-100 במרווחים של 10. </t>
  </si>
  <si>
    <t xml:space="preserve">ב. הציגו בתרשים את גרף הרווח / ההפסד מהאסטרטגיה (המשולבת). </t>
  </si>
  <si>
    <t xml:space="preserve">ג. מהן יתרונות / חסרונות האסטרטגיה ומהן ציפיות המשקיע הבוחר בה. </t>
  </si>
  <si>
    <t xml:space="preserve">Long </t>
  </si>
  <si>
    <t>Straddle</t>
  </si>
  <si>
    <t>טיפ מהדוקטור: בעוד שהרווח בתרחיש ירידה מוגבל,</t>
  </si>
  <si>
    <t>כי אין ירידה מתחת ל-0, הרווח בתרחיש עלייה בלתי מוגבל</t>
  </si>
  <si>
    <t xml:space="preserve">מעבר ליכולת לחשב מתמטית את נקודות החיתוך עם ציר ה-st, </t>
  </si>
  <si>
    <t>ניתן גם לומר:</t>
  </si>
  <si>
    <t>נקודות החיתוך עם ציר st הן מחיר המימוש x בתוספת / בניכוי סך הפרמיות.</t>
  </si>
  <si>
    <t>המשקיע צופה שוק תנודתי (שינויים משמעותיים בשווי</t>
  </si>
  <si>
    <t>נכס הבסיס) באופן שיוביל לסטייה משמעותית בין מחיר</t>
  </si>
  <si>
    <t xml:space="preserve">השוק לבין מחיר המימוש. </t>
  </si>
  <si>
    <r>
      <t xml:space="preserve">ספציפית, המשקיע הנדון מייחס הסתברות גבוהה לתרחישים שבהם מחיר המניה יהיה </t>
    </r>
    <r>
      <rPr>
        <u/>
        <sz val="12"/>
        <color theme="1"/>
        <rFont val="David"/>
      </rPr>
      <t>מעל 68</t>
    </r>
    <r>
      <rPr>
        <sz val="12"/>
        <color theme="1"/>
        <rFont val="David"/>
      </rPr>
      <t xml:space="preserve"> או </t>
    </r>
    <r>
      <rPr>
        <u/>
        <sz val="12"/>
        <color theme="1"/>
        <rFont val="David"/>
      </rPr>
      <t>מתחת ל-32.</t>
    </r>
    <r>
      <rPr>
        <sz val="12"/>
        <color theme="1"/>
        <rFont val="David"/>
      </rPr>
      <t xml:space="preserve"> </t>
    </r>
  </si>
  <si>
    <t>נדרש א - רווח והפסד בטבלה</t>
  </si>
  <si>
    <t>נדרש ב - גרף רווח / הפסד</t>
  </si>
  <si>
    <t>נדרש ג - ציפיות המשקיע:</t>
  </si>
  <si>
    <t>שאלה 0.1 - המחשה בסיסית - קניית אוכף - התנסות כיתה</t>
  </si>
  <si>
    <t xml:space="preserve">מניית ״נקניקי העיר״ נסחרת היום במחיר של 100 ש״ח. </t>
  </si>
  <si>
    <t>כמו כן, נסחרות 2 אופציות על מניה זו (מכפיל 1):</t>
  </si>
  <si>
    <t>הפרמיה בעדה: 28 ש״ח</t>
  </si>
  <si>
    <t>הפרמיה בעדה: 15 ש״ח</t>
  </si>
  <si>
    <t xml:space="preserve">טבלת רווח / הפסד במחירי שוק שבין 50 ל-150 במרווחים של 10. </t>
  </si>
  <si>
    <t>גרף רווח / הפסד.</t>
  </si>
  <si>
    <t xml:space="preserve">תיאור תמציתי של ציפיות המשקיע. </t>
  </si>
  <si>
    <t>כללי עבודה - תמצית</t>
  </si>
  <si>
    <t>לפי מחיר שוק (st) בניכוי מחיר מימוש (x) בניכוי פרמיה</t>
  </si>
  <si>
    <t>רק אם מחיר השוק גבוה ממחיר המימוש</t>
  </si>
  <si>
    <t xml:space="preserve">אחרת: מפסידים את כל הפרמיה. </t>
  </si>
  <si>
    <t xml:space="preserve">המשקיע קונה אוכף. </t>
  </si>
  <si>
    <t>רווח מקניית אופציית Call:</t>
  </si>
  <si>
    <t>רווח מקניית אופציית Put:</t>
  </si>
  <si>
    <t>לפי מחיר מימוש (x) בניכוי מחיר שוק (st) בניכוי פרמיה</t>
  </si>
  <si>
    <t>רק אם מחיר המימוש גבוה ממחיר השוק</t>
  </si>
  <si>
    <t>בודקים תחילה מה הרווח כאשר מחיר השוק st הוא 0.</t>
  </si>
  <si>
    <t xml:space="preserve">זו נקודת החיתוך עם הציר האנכי. </t>
  </si>
  <si>
    <t>ההפסד המקסימלי בגובה סכום הפרמיות ששולמו</t>
  </si>
  <si>
    <t>מתקיים כאשר st=x כלומר מחיר מימוש שווה למחיר השוק.</t>
  </si>
  <si>
    <t>נק׳ החיתוך עם ציר st הן בערך x בתוספת או בניכוי הפרמיות.</t>
  </si>
  <si>
    <t>תרגול נוסף לא להגשה לבית</t>
  </si>
  <si>
    <t xml:space="preserve">שאלה 1 - קניית אוכף Long Straddle </t>
  </si>
  <si>
    <t xml:space="preserve">שאלה 2 - קניית אוכף Long Straddle תרגול נוסף בשיתוף כיתה מהותי יותר :) </t>
  </si>
  <si>
    <t>P&amp;L Call</t>
  </si>
  <si>
    <t>P&amp;L Put</t>
  </si>
  <si>
    <t xml:space="preserve">אופציית ה-Call לא ממומשת, הפסד </t>
  </si>
  <si>
    <t>אופציית ה-Put ממומשת, והרווח:</t>
  </si>
  <si>
    <t xml:space="preserve">(100 - 0) - 15 = </t>
  </si>
  <si>
    <t>סה״כ רווח / הפסד:</t>
  </si>
  <si>
    <t>רווח / הפסד כאשר st=0 - נדרש לחשב בנפרד, משום שבתרגיל זה הטבלה עצמה לא כוללת st=0:</t>
  </si>
  <si>
    <t>לגבי נק׳ החיתוך עם הציר האופקי: אפשר לבחון אותן על בסיס שיפועים, או על בסיס התובנה</t>
  </si>
  <si>
    <t>שאומרת שנק׳ החיתוך באסטרטגיה זו כשהמכפיל = 1 עם הציר האופקי זהות למחיר</t>
  </si>
  <si>
    <t xml:space="preserve">המימוש (100) בניכוי הפרמיות (43-) או בתוספת הפרמיות (43+) בהתאמה. </t>
  </si>
  <si>
    <t>מטרות המשקיע וציפיותיו:</t>
  </si>
  <si>
    <t>המשקיע צופה שוק תנודתי, ובפרט, מייחס הסתברות גבוהה</t>
  </si>
  <si>
    <t>לתרחיש של ירידת מחיר מתחת ל-57 או עליית מחיר מעל 143.</t>
  </si>
  <si>
    <t xml:space="preserve">ד״ר צבאן מעוניין לבנות אסטרטגיית קניית שוקת על מניה. הניחו לשם פשטות כי המכפיל = 1. בנוסף הניחו כי מחיר המניה </t>
  </si>
  <si>
    <t>C60 =&gt; Premium = 8; P40 =&gt; Premium = 10</t>
  </si>
  <si>
    <t>if st&gt;x</t>
  </si>
  <si>
    <t>CF=st-x</t>
  </si>
  <si>
    <t>else: 0</t>
  </si>
  <si>
    <t>if st&lt;x</t>
  </si>
  <si>
    <t>CF=x-st</t>
  </si>
  <si>
    <t>CF-Premiumֹ</t>
  </si>
  <si>
    <t>CF-Premium</t>
  </si>
  <si>
    <t>סיכום</t>
  </si>
  <si>
    <t>P&amp;L P40 + P&amp;L C60</t>
  </si>
  <si>
    <t xml:space="preserve">א. נק׳ חיתוך עם ציר אנכי P&amp;L כאשר st=0. </t>
  </si>
  <si>
    <t>ב. נק׳ חיתוך עם ציר אופקי בשני מקומות:</t>
  </si>
  <si>
    <t>תדריך קצר לאיור (מכפיל 1) - אסטרטגיית קניית שוקת:</t>
  </si>
  <si>
    <t xml:space="preserve">ב.1. בערך הזהה מספרית לערך נק׳ חיתוך עם הציר האנכי </t>
  </si>
  <si>
    <t xml:space="preserve">ב.2. בערך ששווה למחיר המימוש של ה-Call בתוספת </t>
  </si>
  <si>
    <t xml:space="preserve">ההפסד המירבי (הפרשי הפרמיות). </t>
  </si>
  <si>
    <t>ג. ״רצפת הגרף״ (טווח ההפסדים המירביים) הוא בין מחיר המימוש של ה-Put</t>
  </si>
  <si>
    <t xml:space="preserve">לבין מחיר המימוש של ה-Call. </t>
  </si>
  <si>
    <t>תרגיל 2 - תרגיל כיתה</t>
  </si>
  <si>
    <t xml:space="preserve">מיכל מעוניינת לבנות אסטרטגיית קניית שוקת על מניה. הניחו לשם פשטות כי המכפיל = 1. בנוסף הניחו כי מחיר המניה </t>
  </si>
  <si>
    <r>
      <t xml:space="preserve">הספציפית היום הוא </t>
    </r>
    <r>
      <rPr>
        <b/>
        <sz val="12"/>
        <color theme="1"/>
        <rFont val="David"/>
      </rPr>
      <t>100</t>
    </r>
    <r>
      <rPr>
        <sz val="12"/>
        <color theme="1"/>
        <rFont val="David"/>
      </rPr>
      <t xml:space="preserve"> ש״ח, ומחירי האופציות על המניה הם:</t>
    </r>
  </si>
  <si>
    <t>C70</t>
  </si>
  <si>
    <t>C90</t>
  </si>
  <si>
    <t>C110</t>
  </si>
  <si>
    <t>P110</t>
  </si>
  <si>
    <t>P80</t>
  </si>
  <si>
    <t>א. הציגו רווח והפסד מהאסטרטגיה, בטווח מחירים שבין 50 ל-150 במרווחים של 10.</t>
  </si>
  <si>
    <t>P&amp;L C110</t>
  </si>
  <si>
    <t>P&amp;L P80</t>
  </si>
  <si>
    <t>שורת עזר</t>
  </si>
  <si>
    <t>אופציות ומכשירים פיננסיים מתוחכמים - הרצאה 9 - אסטרטגיית פרפר</t>
  </si>
  <si>
    <t>במפגשים הקודמים הצגנו 2 אסטרטגיות המיועדות למשקיע הצופה שוק תנודתי.</t>
  </si>
  <si>
    <t>long C30</t>
  </si>
  <si>
    <t>long C50</t>
  </si>
  <si>
    <t>2*short C40</t>
  </si>
  <si>
    <t>2*short P50</t>
  </si>
  <si>
    <t>אופציות ומכשירים פיננסיים מתוחכמים - הרצאה 10 - אסטרטגיות משולבות - המשך</t>
  </si>
  <si>
    <t>היום נציג את אסטרטגיה נוספת: אסטרטגיית מרווח יורד.</t>
  </si>
  <si>
    <t>Buy (long):</t>
  </si>
  <si>
    <t>Put, x &gt;= st (now)</t>
  </si>
  <si>
    <t>לקנות Put שמחיר המימוש שלו x גדול או שווה ממחיר השוק של המניה</t>
  </si>
  <si>
    <t>Write (short):</t>
  </si>
  <si>
    <t>Put, x&lt;st</t>
  </si>
  <si>
    <t xml:space="preserve">הפסד מירבי בגובה הפרשי הפרמיות (במקום הפסד מלוא הפרמיה במקרה של קניית Put בלבד). </t>
  </si>
  <si>
    <t>תרגיל 27.1 - מרווח יורד - פתרון ע״י כיתת נקניקים</t>
  </si>
  <si>
    <t>עליכם לבנות אסטרטגיית מרווח יורד בגין הנתונים הבאים:</t>
  </si>
  <si>
    <t>אופציית Put 100 עולה 40 ש״ח, אופציית Put 60 עולה 10 ש״ח.</t>
  </si>
  <si>
    <t>הדגימו בטבלה בטווח מחירי סגירה שבין 20 ל-130 את הרווח / ההפסד מהאסטרטגיה, והציגו בגרף את הרווח</t>
  </si>
  <si>
    <t>Long P100</t>
  </si>
  <si>
    <t>Short P60</t>
  </si>
  <si>
    <t>או ההפסד. המכפיל =1. ציר אופקי: מחיר השוק st במימוש / בפקיעה. ציר אנכי: רווח / הפסד מהאסטרטגיה.</t>
  </si>
  <si>
    <t>הצגנו אסטרטגיה שנקראת ״מרווח יורד״. אסטרטגיה זו היתה מורכבת משילובי אופציות, שתכליתה היתה</t>
  </si>
  <si>
    <t>המפגש הקודם:</t>
  </si>
  <si>
    <t>במפגש הנוכחי:</t>
  </si>
  <si>
    <t xml:space="preserve">מרווח עולה = </t>
  </si>
  <si>
    <t>קנה CALL נמוך, כתוב CALL גבוה</t>
  </si>
  <si>
    <t>פרמיה 8</t>
  </si>
  <si>
    <t>פרמיה 3</t>
  </si>
  <si>
    <t>שאלה 2 - מרווח עולה - תרגול כיתה</t>
  </si>
  <si>
    <t>שימידלי היא חברה המייצרת מחשבונים פיננסיים סטייל שנות ה-80.</t>
  </si>
  <si>
    <t>מניית החברה נסחרת בבורסה לני״ע, וקיימים עליה מגוון נגזרים - ביניהם, אופציות Call ו-Put.</t>
  </si>
  <si>
    <t xml:space="preserve">עדן מאמינה שמחיר המניה יעלה, אך במידה מתונה יחסית. </t>
  </si>
  <si>
    <t>להלן נתונים לגבי אופציות על המניה, אשר ידוע שמחירה היום (של המניה) 100.</t>
  </si>
  <si>
    <t xml:space="preserve">א. מהי האסטרטגיה המתאימה לעדן? </t>
  </si>
  <si>
    <t>ב. החבר של עדן, בוני, טען כלפיה: ״חבל. את סתם מסתבכת. עדיף לך פשוט לקנות Call 90 וזהו, אם את מאמינה</t>
  </si>
  <si>
    <t xml:space="preserve">שהמחיר יעלה״. התייחסו לטענת החבר (בונוס: אם זה מה שהוא אומר, האם שווה להשאר איתו). </t>
  </si>
  <si>
    <t xml:space="preserve">ג. הציגו בטבלה את הרווח / ההפסד בטווח מחירי סגירה שבין 20 ל-150 במרווחים של 10. </t>
  </si>
  <si>
    <t>טיפ: מרווח יורד = קנה Call נמוך,</t>
  </si>
  <si>
    <t>כתוב Call גבוה</t>
  </si>
  <si>
    <t>P&amp;L long C90</t>
  </si>
  <si>
    <t>P&amp;L short C120</t>
  </si>
  <si>
    <t>חבר של עדן ממליץ על האסטרטגיה:</t>
  </si>
  <si>
    <t>long C90 (Premium) = 25</t>
  </si>
  <si>
    <t>לגבי ההצעה של חבר של עדן:</t>
  </si>
  <si>
    <t>אמנם הרווח לא מוגבל, אבל:</t>
  </si>
  <si>
    <t>א. משלמים יותר (25)</t>
  </si>
  <si>
    <t>ב. המשמעות היא שמתחילים להרוויח רק בתרחיש יותר קיצוני (115)</t>
  </si>
  <si>
    <t>זה יהיה רלוונטי רק אם יש סיבה טובה להניח שתחול</t>
  </si>
  <si>
    <t>עלייה משמעותית, שבמקרים רבים פחות רלוונטית</t>
  </si>
  <si>
    <t xml:space="preserve">למציאות שבה השינויים במחירי מניות רבות הם </t>
  </si>
  <si>
    <t xml:space="preserve">הדרגתיים. </t>
  </si>
  <si>
    <t>לא חושב שבנתונים הללו הייתי פוסל את חבר של עדן;</t>
  </si>
  <si>
    <t>אבל כן מציג לו את החסרונות / התמונה הנגדית.</t>
  </si>
  <si>
    <t>תרגילים נוספים לתרגול לקראת בחינה</t>
  </si>
  <si>
    <t>אופציות ומכשירים פיננסיים מתוחכמים - הרצאה 11 - מרווח עולה</t>
  </si>
  <si>
    <t>שאלות חזרה נוספות</t>
  </si>
  <si>
    <t xml:space="preserve">שאלות </t>
  </si>
  <si>
    <t>שאלות חזרה נוספות חלק 3</t>
  </si>
  <si>
    <t>אופציות ומכשירים פיננסיים מתוחכמים - הרצאה 12 - חזרה לבחינה</t>
  </si>
  <si>
    <t>במפגש זה פתרנו חלקים מבחינה לדוגמא בקובץ WORD נפרד שמצוי באתר.</t>
  </si>
  <si>
    <t>שאלות חזרה והיערכות למבחן</t>
  </si>
  <si>
    <t> </t>
  </si>
  <si>
    <t xml:space="preserve">  </t>
  </si>
  <si>
    <t>זה מיקוד</t>
  </si>
  <si>
    <t>משוער בלבד!</t>
  </si>
  <si>
    <t>ראו מיקוד סופי</t>
  </si>
  <si>
    <t>בגיליון נפרד</t>
  </si>
  <si>
    <t>מיקוד סופי 2025 א</t>
  </si>
  <si>
    <t>מיקוד סופי לבחינה</t>
  </si>
  <si>
    <r>
      <t xml:space="preserve">משך הבחינה: </t>
    </r>
    <r>
      <rPr>
        <b/>
        <sz val="12"/>
        <color theme="1"/>
        <rFont val="David"/>
      </rPr>
      <t>שלוש שעות</t>
    </r>
  </si>
  <si>
    <t>חשוב לתרגל ולהיות מסוגלים לשרטט מהר (המבחן לא ארוך מדי, אבל יש לא מעט שירטוטים, ולא יהיה זמן</t>
  </si>
  <si>
    <t xml:space="preserve">להתחיל ללמוד איך משרטטים תוך כדי תנועה). </t>
  </si>
  <si>
    <t xml:space="preserve">רק לאחר שהמחברת תפורה פיקס, לעבור לשאלות החזרה וה״מבחנים״ לדוגמא. </t>
  </si>
  <si>
    <t>להלן תוכן מבחינת סדר גודל (ברמה מדויקת, פשוט צריך לדעת פיקס את המחברת):</t>
  </si>
  <si>
    <t>השאלה כוללת התייחסות לאופציה אחת בלבד, עם מכפיל = 1 (שזו גם ברירת המחדל, אם לא עוסקים</t>
  </si>
  <si>
    <t xml:space="preserve">באופציות על מדד ו/או על מט״ח). </t>
  </si>
  <si>
    <t>השאלה כוללת סעיפים רבים, בכל אחד מהם מופיעה אופציה אחרת, בכל אחת מהן הדרישה אחרת.</t>
  </si>
  <si>
    <t xml:space="preserve">יידרשו שרטוטים. </t>
  </si>
  <si>
    <t>כמו כן, ייתכנו בשאלה זו וגם באחרות שאלות תאוריה, דיון, ציפיות המשקיע, הצדקת ההשקעה וכיו״ב.</t>
  </si>
  <si>
    <t>גם כאן השאלה כוללת התייחסות לאופציה אחת בלבד, עם שילוב תאוריה. במובן מסוים השאלה</t>
  </si>
  <si>
    <t>הזו מהווה הרחבה / היא בסגנון של שאלה 1, פשוט תשאל על פעולות אחרות.</t>
  </si>
  <si>
    <t>השאלה תכלול בין 4 ל-5 סעיפים, יש להתייחס לכל סעיף כשאלה קטנה נפרדת אלא אם נאמר אחרת.</t>
  </si>
  <si>
    <t>השאלה הזו מתייחסת לשילוב אופציות. יכולים לתת אסטרטגיה מוגדרת שהמשקיע צריך לבנות,</t>
  </si>
  <si>
    <t xml:space="preserve">באיזו אופציה נוספת / איזה כלי הוא צריך לנקוט / איזו אסטרטגיה משולבת מתאימה לו. </t>
  </si>
  <si>
    <t>סעיפים הקשורים למכפילים יהיו פשוטים יחסית ולא ידרשו אסטרטגיות אך כן עשויים בהחלט</t>
  </si>
  <si>
    <t xml:space="preserve">לדרוש חילוצים ויצירתיות בחישוב כמו שבוצע בתרגילים במחברת בנושא זה. </t>
  </si>
  <si>
    <t>גם שאלה זו תכלול התייחסות לאסטרטגיות משולבות שונות, עם דגש תיאורטי לגבי הצגה גרפית</t>
  </si>
  <si>
    <t>כולל נקודות חיתוך עם הצירים וכולל התייחסות תיאורטית ליתרונות, חסרונות וציפיות המשקיע.</t>
  </si>
  <si>
    <t xml:space="preserve">כאשר הדרישה ברכיב התיאורטי תהיה עמוקה וצבעונית (ואין מה לדרוש בגינה שאלות מקבילות -  </t>
  </si>
  <si>
    <t xml:space="preserve">השאלה בודקת עומק הבנה ולא רק כושר יישום של מחברת). </t>
  </si>
  <si>
    <t>מיקוד לבחינה והדרכה מסכמת ללמידה לקראת הבחינה / חזרה - מפגש זום 25/2/2025</t>
  </si>
  <si>
    <r>
      <t xml:space="preserve">ראשית, לצד העובדה שישנן שאלות חזרה / מבחנים לדוגמא, </t>
    </r>
    <r>
      <rPr>
        <b/>
        <sz val="12"/>
        <color theme="1"/>
        <rFont val="David"/>
      </rPr>
      <t>הכי חשוב בעולם זה לדעת את המחברת על בוריה</t>
    </r>
    <r>
      <rPr>
        <sz val="12"/>
        <color theme="1"/>
        <rFont val="David"/>
      </rPr>
      <t>.</t>
    </r>
  </si>
  <si>
    <r>
      <t xml:space="preserve">זה אומר </t>
    </r>
    <r>
      <rPr>
        <u/>
        <sz val="12"/>
        <color theme="1"/>
        <rFont val="David"/>
      </rPr>
      <t>לתרגל את כל התרגילים שלה פרפקט</t>
    </r>
    <r>
      <rPr>
        <sz val="12"/>
        <color theme="1"/>
        <rFont val="David"/>
      </rPr>
      <t xml:space="preserve">, אבל גם </t>
    </r>
    <r>
      <rPr>
        <u/>
        <sz val="12"/>
        <color theme="1"/>
        <rFont val="David"/>
      </rPr>
      <t>לקרוא את התאוריה ולהבין</t>
    </r>
    <r>
      <rPr>
        <sz val="12"/>
        <color theme="1"/>
        <rFont val="David"/>
      </rPr>
      <t xml:space="preserve">. </t>
    </r>
  </si>
  <si>
    <t>למעשה, שתי השאלות</t>
  </si>
  <si>
    <t>הראשונות בבחינה</t>
  </si>
  <si>
    <t xml:space="preserve">במשקל 40 נק׳ </t>
  </si>
  <si>
    <t>הן על הבסיס של הבסיס:</t>
  </si>
  <si>
    <t>שואלים על אופציה בודדת</t>
  </si>
  <si>
    <t xml:space="preserve">בכל פעם Call / Put, </t>
  </si>
  <si>
    <t>שואלים על קניה ועל</t>
  </si>
  <si>
    <t xml:space="preserve">כתיבה (בסעיפים נפרדים), </t>
  </si>
  <si>
    <t>ועל המשמעות, המוטיבציה</t>
  </si>
  <si>
    <t>או הצורך בכך, ציפיות המשקיע</t>
  </si>
  <si>
    <t>השאלה תכלול בין 2 ל-3 סעיפים, יש להתייחס לכל סעיף כשאלה קטנה נפרדת אלא אם נאמר אחרת.</t>
  </si>
  <si>
    <t>או לחילופין, לתאר את הציפיות או המצב של המשקיע וצריך לנמק (מילולית) או להגדיר (טכנית)</t>
  </si>
  <si>
    <t>סגנון אחד של נדרש:</t>
  </si>
  <si>
    <t>״בנו אסרטגיה של קניית</t>
  </si>
  <si>
    <t>אוכף״ ולהסביר.</t>
  </si>
  <si>
    <t>סגנון אחר של נדרש:</t>
  </si>
  <si>
    <t>״משקיע צופה שוק יציב,</t>
  </si>
  <si>
    <t>אילו אופציות יקנה / יכתוב,</t>
  </si>
  <si>
    <t>מה האסטרטגיה ומדוע״</t>
  </si>
  <si>
    <t xml:space="preserve">כמו כן, ייתכנו סעיפים הקשורות לשיטת המכפילים, כולל חילוצים רלוונטיים של ערכים והתאמות. </t>
  </si>
  <si>
    <t>אופציות על דולר / מדד</t>
  </si>
  <si>
    <t>כולל חישובים</t>
  </si>
  <si>
    <t>בסיסי מאד</t>
  </si>
  <si>
    <t>בסיסי</t>
  </si>
  <si>
    <t>אסטרטגיות</t>
  </si>
  <si>
    <t>בסיסיות</t>
  </si>
  <si>
    <t>ונוסחאות</t>
  </si>
  <si>
    <t>מכפילים</t>
  </si>
  <si>
    <t>הדגש תיאורטי</t>
  </si>
  <si>
    <t>וגרפי</t>
  </si>
  <si>
    <r>
      <t xml:space="preserve">שאלה זו תתמקד בעומק </t>
    </r>
    <r>
      <rPr>
        <u/>
        <sz val="12"/>
        <color theme="1"/>
        <rFont val="David"/>
      </rPr>
      <t>אחת</t>
    </r>
    <r>
      <rPr>
        <sz val="12"/>
        <color theme="1"/>
        <rFont val="David"/>
      </rPr>
      <t xml:space="preserve"> מהאסטרטגיות שנלמדו. היא תכלול רכיב חישובי ורכיב תיאורטי,</t>
    </r>
  </si>
  <si>
    <t>שאלות הקהל:</t>
  </si>
  <si>
    <t>א. עד כמה ניתן/צריך לחפור בשאלות התאוריה?</t>
  </si>
  <si>
    <t xml:space="preserve">המטרה העקרונית היא כמו תמיד לענות ״לעניין״. </t>
  </si>
  <si>
    <t>בהקשר זה, צריך להבדיל בין סוגי שאלות:</t>
  </si>
  <si>
    <t>רבות מהשאלות יכללו דרישה לדיון תיאורטי מוגדר היטב - למשל, מה ציפיות המשקיע שקונה אופציה ספציפית,</t>
  </si>
  <si>
    <t>ומה היתרונות או החסרונות באסטרטגיה מסוימת. במקרה שכזה, תיאור קצר מאד שמתאים לאסטרטגיה / לאופציה</t>
  </si>
  <si>
    <t>יספיק בהחלט.</t>
  </si>
  <si>
    <t xml:space="preserve">שאלות אחרות (ובראשן החלק השני של שאלה 5) יכולות להיות רחבות יותר; ולכלול צורך בדיון, הצגת עמדה </t>
  </si>
  <si>
    <t>שמוסקת מהנתונים או הסיטואציה וכיוצא בזה.</t>
  </si>
  <si>
    <t>בשאלות כאלו, אין מגבלה עקרונית על נפח מענה, אבל כמובן ששיפוט איכותי של תשובה מתייחס למיקוד במענה</t>
  </si>
  <si>
    <t xml:space="preserve">ולא העתקה חסרת תועלת מהמחברת / החומרים. </t>
  </si>
  <si>
    <t>במלים אחרות: אנחנו (עבדכם הנאמן והבודקים) מאד מעריכים תשובות שהן ״לעניין״ שמציגות להתרשמותנו</t>
  </si>
  <si>
    <t>סטודנטים שלא מנסים לזרוק ״הכל על הקיר״ ולראות ״מה תופס״ אלא עונים לעניין.</t>
  </si>
  <si>
    <t>במידה ועולה התלבטות לגבי פרשנות לסעיף תאוריה מסוים, מעבר ליכולת שלכם לשאול שאלות בפתקים, ניתן גם</t>
  </si>
  <si>
    <t>להניח הנחה ברורה ומנומקת (מודגשת) לבודק להתייחסות.</t>
  </si>
  <si>
    <t>ב. האם שאלות תאוריה תישאלנה רק בגין סעיפים מורכבים?</t>
  </si>
  <si>
    <t>התשובה לא. שאלות תאוריה / הסבר / ציפיות משקיע / יתרונות וחסרונות - בהחלט יכולות להשאל גם לגבי שאלות</t>
  </si>
  <si>
    <t>פשוטות, הכוללות אסטרטגיות מוגדרות ו/או אופציות בודדות.</t>
  </si>
  <si>
    <t>כמובן שבמקרים כאלו הדיון יהיה קצר יותר ומוגדר יותר, עם פתח קטן יותר לפרשנות.</t>
  </si>
  <si>
    <t>ג. האם יכולות להיות שאלות לגבי רמת סיכון? וספציפית, סיכון בכתיבת Call לעומת כתיבת Put?</t>
  </si>
  <si>
    <t>עולם הדיון בסיכונים הוא עולם מורכב יחסית. כי נשאלת השאלה - מהו סיכון? סטיית תקן? הפסד מקסימלי?</t>
  </si>
  <si>
    <t>מה המשתנה שמגדירים?</t>
  </si>
  <si>
    <t>בקורס שלנו, לא עסקנו בצורה שיטתית / סטטיסטית בסיכון; כן הבהרנו אינטואיטיבית את ההשפעות שיכולות</t>
  </si>
  <si>
    <t>להיווצר בגין אופציות ואסטרטגיות שונות (למשל - אוכף היא אסטרטגיה שבה ההפסד מירבי בנקודה מסוימת,</t>
  </si>
  <si>
    <t>אבל כל שינוי במחירי השוק מוביל לקיזוז ההפסד עד למעבר למצב רווח, לעומת שוקת שהיא אסטרטגיה שכאשר</t>
  </si>
  <si>
    <t xml:space="preserve">היא נרכשת ההפסד מירבי בטווח של מחירי שוק אפשריים, אך ההפסד המירבי נמוך יותר). </t>
  </si>
  <si>
    <t>וספציפית לגבי שאלת השואלת, אם דנים בסיכון במונחי הפסד מירבי, בכתיבת Call ההפסד המירבי התיאורטי</t>
  </si>
  <si>
    <t>בלתי מוגבל, ולכן במימד זה של הסיכון (מימד ההפסד המירבי) האופציה מסוכנת יותר. עם זאת, כמובן שיש שיקולים</t>
  </si>
  <si>
    <t xml:space="preserve">משמעותיים נוספים (כגון: מהי ההסתברות לעלייה משמעותית במחיר המניה). </t>
  </si>
  <si>
    <t xml:space="preserve">בקצרה: הדיון התיאורטי בשאלות יישען יותר על יתרונות, חסרונות, ציפיות המשקיע הנובעות מטווחי הרווח </t>
  </si>
  <si>
    <t xml:space="preserve">וההפסד, ופחות על היבטים של סיכון כמדד ספציפי. </t>
  </si>
  <si>
    <t>ד. באחד השיעורים התייחסת ל״עקרון המינוף״ שדן בחשיפה הגבוהה לנכס הבסיס כתוצאה מהשקעה באופציה,</t>
  </si>
  <si>
    <t>לעומת השקעה ישירה במניה. התרגול על כך מצומצם יחסית, ולא מופיע במבחנים לדוגמא. האם זה חלק מהחומר</t>
  </si>
  <si>
    <t>המחייב?</t>
  </si>
  <si>
    <t xml:space="preserve">זו שאלה מצויינת! היא מחזקת בדיוק ובאופן נקודתי את מה שאמרנו בפתיח: שאנחנו צריכים להיות מסוגלים </t>
  </si>
  <si>
    <t>לעבור קודם כל על כל המחברת ולסכם, ולתמצת, ולהבין, ולהסביר לעצמנו את כל הסוגיות הכלולות בה.</t>
  </si>
  <si>
    <t>כמובן, שאם ישנה סוגיה שלא נדונה באופן מעמיק, אלא רק הודגמה בקצרה, אזי:</t>
  </si>
  <si>
    <t xml:space="preserve">א. משקלה בניקוד לא יהיה קיצוני. </t>
  </si>
  <si>
    <t xml:space="preserve">ב. עומק היישום שיידרש סביר שיהיה נמוך יחסית / דומה מאד למוצג בהדגמה. </t>
  </si>
  <si>
    <t>ה. באחד השיעורים התייחסת ל-Short עם מכפילים. האם אפשר לחדד את אופן החישוב?</t>
  </si>
  <si>
    <t>באופן עקרוני - העמדה שלי היא שהתייחסות ל-Short (כתיבת אופציה) עשויה להיות מורכבת, כי היא תמיד דורשת</t>
  </si>
  <si>
    <t>חשיבה מנקודת ראות ״הצד הנגדי״ לעסקה (האם מי שמולי יממש / לא ומה יקרה לי כתוצאה מכך, חשיבה פחות</t>
  </si>
  <si>
    <t xml:space="preserve">טריביאלית מקניית אופציה). </t>
  </si>
  <si>
    <t>לכן, למרות שזו לא חובה, אני אוהב לתרגל כל שאלה, בין אם היא עוסקת בקניית אופציה ובין אם היא עוסקת</t>
  </si>
  <si>
    <t>בכתיבת אופציה (short) בשני שלבים:</t>
  </si>
  <si>
    <t>בשלב הראשון, אני בונה לי את הנוסחה / התהליך לחישוב הרווח / ההפסד מהאופציה, כאילו מדובר בקנייתה (כלומר,</t>
  </si>
  <si>
    <t>בשלב הראשון אני מתייחס לכל עסקה כאל Long).</t>
  </si>
  <si>
    <t>להלן דוגמה לרווח / הפסד מקניית אופציית Call על הדולר (Long) שמניבה לקונה האופציה את הגבוה מבין שני</t>
  </si>
  <si>
    <t>ערכים:</t>
  </si>
  <si>
    <t xml:space="preserve">א. סכום הפרמיה ששולמה, בסימן שלילי (כי מי שקונה את האופציה לא יפסיד יותר מהפרמיה). </t>
  </si>
  <si>
    <t>ב. התזרים החיובי (שהוא ההפרש בין המחיר בשוק st לתוספת המימוש x כפול 10,000) בניכוי הפרמיה:</t>
  </si>
  <si>
    <r>
      <t>ואם ישאלו, למשל, דווקא על הרווח / ההפסד מ</t>
    </r>
    <r>
      <rPr>
        <b/>
        <sz val="12"/>
        <color theme="1"/>
        <rFont val="David"/>
      </rPr>
      <t>כתיבה</t>
    </r>
    <r>
      <rPr>
        <sz val="12"/>
        <color theme="1"/>
        <rFont val="David"/>
      </rPr>
      <t xml:space="preserve"> של 8 אופציות Call כאלו, כל מה שאעשה זה אותו </t>
    </r>
  </si>
  <si>
    <t>התחשיב בדיוק, עם מקדם שלילי לכל התוצאה (הואיל ומדובר בכתיבה) ועם מכפלה במספר האופציות.</t>
  </si>
  <si>
    <t>כתיבת אופציה אחת:</t>
  </si>
  <si>
    <t>כתיבת 8 אופציות:</t>
  </si>
  <si>
    <t>ו. אם יש לנו שאלות נוספות / סיימנו לתרגל, תן לנו עוד פוש קטן:</t>
  </si>
  <si>
    <t>בשמחה:</t>
  </si>
  <si>
    <t>א. באתר הקורס (גיטהאב) קיימת בחינה לדוגמא ב-WORD שפתרנו חלק ממנה במפגש 12, ואשלים למענכם את</t>
  </si>
  <si>
    <t>פתרון היתר.</t>
  </si>
  <si>
    <t>ב. אעלה בחינה נוספת עם פתרון מלא בע״ה עד מחר ואפרסם עדכון מתאים.</t>
  </si>
  <si>
    <t>ג. אעלה קובץ Google Docs שבו תוכלו לשאול באופן אנונימי שאלות, ואני אשתדל למצוא דרך להתייחס בצורה</t>
  </si>
  <si>
    <t xml:space="preserve">מפורטת - או באופן כתוב ו/או בהקלטה נוספת שאערוך למענכם. </t>
  </si>
  <si>
    <t>ד. מתרגל הקורס אופק גראס-טאטן זמין לכל שאלה:</t>
  </si>
  <si>
    <t>ה. זכרו- המייל שלי איננו המייל של קולמן אלא:</t>
  </si>
  <si>
    <t>shay.tsaban@gmail.com</t>
  </si>
  <si>
    <t>x = 40</t>
  </si>
  <si>
    <t>premium = 22</t>
  </si>
  <si>
    <t>Long Put</t>
  </si>
  <si>
    <t>premium 17</t>
  </si>
  <si>
    <t>Option</t>
  </si>
  <si>
    <t>Premium</t>
  </si>
  <si>
    <t xml:space="preserve">האסטרטגיה הבולטת ביותר שהדגשנו אשר מתאימה למשקיע שצופה שוק יציב היא קניית פרפר. </t>
  </si>
  <si>
    <t>זוהי אסטרטגיה שמצד אחד מעניקה למשקיע רווח במידה והשוק יציב, אך גם מגבילה את ההפסד</t>
  </si>
  <si>
    <t>במידה והתרחיש לא יתממש, ומחיר השוק ישתנה במידה משמעותית.</t>
  </si>
  <si>
    <t xml:space="preserve">קניית אופציית Call48 אחת בעלת מחיר המימוש הנמוך = ״בתוך הכסף״ </t>
  </si>
  <si>
    <t>קניית אופציית Call64 אחת בעלת מחיר המימוש הגבוה = ״מחוץ לכסף״</t>
  </si>
  <si>
    <t>כתיבת 2 אופציות Call58 במחיר מימוש ביניים = "בכסף״</t>
  </si>
  <si>
    <t>חשוב:</t>
  </si>
  <si>
    <t>לצד זאת, עשויה להתאים למשקיע גם אסטרטגיה של כתיבת אוכף וכתיבת שוקת עשויה להתאים.</t>
  </si>
  <si>
    <t xml:space="preserve">מדוע? </t>
  </si>
  <si>
    <t>אמרנו שקניית אוכף / קניית שוקת מתאימה למשקיע הצופה שוק תנודתי, והוא מוכן לשלם פרמיות</t>
  </si>
  <si>
    <t>גבוהות לכדי להנות מתנודתיות השוק.</t>
  </si>
  <si>
    <t>אם השוק יציב - אז הצד הנגדי לעסקה - כותב האסטרטגיה יכול להנות מרווח חיובי במצב של יציבות.</t>
  </si>
  <si>
    <t>מרכזי</t>
  </si>
  <si>
    <t>משני</t>
  </si>
  <si>
    <t>בתורת התחלה, נוח לחשוב על עלות העסקה במונחי הפרמיות נטו המשולמות / מתקבלות במסגרתה.</t>
  </si>
  <si>
    <t>פרמיה ששולמה בעד Call 48</t>
  </si>
  <si>
    <t>פרמיה ששולמה בעד Call 64</t>
  </si>
  <si>
    <t>פרמיה שהתקבלה בעד Call58</t>
  </si>
  <si>
    <t xml:space="preserve">2 * 5 = </t>
  </si>
  <si>
    <t>סה״כ פרמיות ששולמו נטו</t>
  </si>
  <si>
    <t>אם אמרנו שאסטרטגיית פרפר (קניית פרפר) מתאימה למשקיע הצופה שוק יציב, ומעוניין להנות מהרווח בגובה</t>
  </si>
  <si>
    <t>המירבי המתאפשר במצב של יציבות כאמור, תוך הגבלת ההפסד במקרה של תנודתיות - הרי שמשקיע נגדי,</t>
  </si>
  <si>
    <t xml:space="preserve">שמתקשר בכתיבת פרפר - כמובן חושב ״הפוך״. הוא למעשה מאמין שמחיר המניה ישתנה בצורה משמעותית, אך </t>
  </si>
  <si>
    <t>הוא מעוניין להגביל את ההפסד במקרה שמחיר השוק יישאר יציב.</t>
  </si>
  <si>
    <t xml:space="preserve">שימו לב כמו שהערתם לי בצ׳אט </t>
  </si>
  <si>
    <t>בסטרים - ההפסד המירבי כאן בצד</t>
  </si>
  <si>
    <t xml:space="preserve">הימני הוא לא 6- אלא 2-. </t>
  </si>
  <si>
    <t>הייתי עייף מכדי לשים לב לטעות.</t>
  </si>
  <si>
    <t>זה תקין כעת.</t>
  </si>
  <si>
    <t xml:space="preserve">לדעתי זה היה עידן שהעיר אבל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</si>
</sst>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1" x14ac:knownFonts="1">
    <font>
      <sz val="12"/>
      <color theme="1"/>
      <name val="Calibri"/>
      <family val="2"/>
      <scheme val="minor"/>
    </font>
    <font>
      <sz val="12"/>
      <color theme="1"/>
      <name val="David"/>
    </font>
    <font>
      <b/>
      <sz val="12"/>
      <color theme="1"/>
      <name val="David"/>
    </font>
    <font>
      <u/>
      <sz val="12"/>
      <color theme="1"/>
      <name val="David"/>
    </font>
    <font>
      <b/>
      <sz val="16"/>
      <color theme="1"/>
      <name val="David"/>
    </font>
    <font>
      <b/>
      <sz val="12"/>
      <color rgb="FFFF0000"/>
      <name val="David"/>
    </font>
    <font>
      <b/>
      <sz val="12"/>
      <name val="David"/>
    </font>
    <font>
      <sz val="12"/>
      <color rgb="FFFF0000"/>
      <name val="David"/>
    </font>
    <font>
      <sz val="11"/>
      <color rgb="FFFF0000"/>
      <name val="David"/>
    </font>
    <font>
      <sz val="12"/>
      <name val="David"/>
    </font>
    <font>
      <sz val="12"/>
      <color rgb="FF00B050"/>
      <name val="David"/>
    </font>
    <font>
      <b/>
      <u/>
      <sz val="12"/>
      <color theme="1"/>
      <name val="David"/>
    </font>
    <font>
      <sz val="12"/>
      <color rgb="FF000000"/>
      <name val="David"/>
    </font>
    <font>
      <sz val="11"/>
      <color theme="1"/>
      <name val="David"/>
    </font>
    <font>
      <sz val="12"/>
      <color theme="0"/>
      <name val="David"/>
    </font>
    <font>
      <sz val="8"/>
      <color theme="1"/>
      <name val="David"/>
    </font>
    <font>
      <sz val="12"/>
      <color theme="0" tint="-0.499984740745262"/>
      <name val="David"/>
    </font>
    <font>
      <b/>
      <sz val="12"/>
      <color rgb="FF00B0F0"/>
      <name val="David"/>
    </font>
    <font>
      <b/>
      <sz val="12"/>
      <color rgb="FF0070C0"/>
      <name val="David"/>
    </font>
    <font>
      <sz val="11"/>
      <color rgb="FF0070C0"/>
      <name val="David"/>
    </font>
    <font>
      <u/>
      <sz val="12"/>
      <name val="David"/>
    </font>
    <font>
      <b/>
      <sz val="28"/>
      <color theme="1"/>
      <name val="David"/>
    </font>
    <font>
      <b/>
      <sz val="22"/>
      <color theme="1"/>
      <name val="David"/>
    </font>
    <font>
      <b/>
      <sz val="12"/>
      <color rgb="FF00B050"/>
      <name val="David"/>
    </font>
    <font>
      <b/>
      <sz val="16"/>
      <color rgb="FFFF0000"/>
      <name val="David"/>
    </font>
    <font>
      <b/>
      <sz val="18"/>
      <color rgb="FF000000"/>
      <name val="David"/>
    </font>
    <font>
      <sz val="10"/>
      <color theme="1"/>
      <name val="David"/>
    </font>
    <font>
      <b/>
      <sz val="12"/>
      <color theme="5"/>
      <name val="David"/>
    </font>
    <font>
      <sz val="9"/>
      <name val="David"/>
    </font>
    <font>
      <sz val="12"/>
      <color rgb="FF0070C0"/>
      <name val="David"/>
    </font>
    <font>
      <u/>
      <sz val="12"/>
      <color rgb="FF0070C0"/>
      <name val="David"/>
    </font>
    <font>
      <u/>
      <sz val="12"/>
      <color rgb="FF00B050"/>
      <name val="David"/>
    </font>
    <font>
      <b/>
      <u/>
      <sz val="12"/>
      <color rgb="FFFF0000"/>
      <name val="David"/>
    </font>
    <font>
      <b/>
      <u/>
      <sz val="12"/>
      <name val="David"/>
    </font>
    <font>
      <sz val="9"/>
      <color theme="1"/>
      <name val="David"/>
    </font>
    <font>
      <b/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1"/>
      <color theme="1"/>
      <name val="David"/>
    </font>
    <font>
      <b/>
      <i/>
      <sz val="12"/>
      <color theme="1"/>
      <name val="David"/>
    </font>
    <font>
      <b/>
      <sz val="14"/>
      <color theme="1"/>
      <name val="David"/>
    </font>
    <font>
      <u/>
      <sz val="12"/>
      <color theme="10"/>
      <name val="Calibri"/>
      <family val="2"/>
      <scheme val="minor"/>
    </font>
  </fonts>
  <fills count="2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DBDBDB"/>
        <bgColor rgb="FF000000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FF930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FA00"/>
        <bgColor indexed="64"/>
      </patternFill>
    </fill>
    <fill>
      <patternFill patternType="solid">
        <fgColor rgb="FFFF7E79"/>
        <bgColor indexed="64"/>
      </patternFill>
    </fill>
    <fill>
      <patternFill patternType="solid">
        <fgColor rgb="FF8EFA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8" tint="0.79998168889431442"/>
        <bgColor indexed="64"/>
      </patternFill>
    </fill>
  </fills>
  <borders count="26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rgb="FF000000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/>
      <right/>
      <top style="thin">
        <color auto="1"/>
      </top>
      <bottom style="dashed">
        <color auto="1"/>
      </bottom>
      <diagonal/>
    </border>
    <border>
      <left/>
      <right/>
      <top style="thin">
        <color indexed="64"/>
      </top>
      <bottom/>
      <diagonal/>
    </border>
  </borders>
  <cellStyleXfs count="3">
    <xf numFmtId="0" fontId="0" fillId="0" borderId="0"/>
    <xf numFmtId="9" fontId="36" fillId="0" borderId="0" applyFont="0" applyFill="0" applyBorder="0" applyAlignment="0" applyProtection="0"/>
    <xf numFmtId="0" fontId="40" fillId="0" borderId="0" applyNumberFormat="0" applyFill="0" applyBorder="0" applyAlignment="0" applyProtection="0"/>
  </cellStyleXfs>
  <cellXfs count="352">
    <xf numFmtId="0" fontId="0" fillId="0" borderId="0" xfId="0"/>
    <xf numFmtId="0" fontId="1" fillId="0" borderId="0" xfId="0" applyFont="1"/>
    <xf numFmtId="0" fontId="2" fillId="2" borderId="0" xfId="0" applyFont="1" applyFill="1"/>
    <xf numFmtId="14" fontId="2" fillId="2" borderId="0" xfId="0" applyNumberFormat="1" applyFont="1" applyFill="1"/>
    <xf numFmtId="0" fontId="2" fillId="0" borderId="0" xfId="0" applyFont="1"/>
    <xf numFmtId="0" fontId="2" fillId="0" borderId="2" xfId="0" applyFont="1" applyBorder="1"/>
    <xf numFmtId="0" fontId="1" fillId="0" borderId="3" xfId="0" applyFont="1" applyBorder="1"/>
    <xf numFmtId="0" fontId="1" fillId="0" borderId="4" xfId="0" applyFont="1" applyBorder="1"/>
    <xf numFmtId="0" fontId="2" fillId="0" borderId="3" xfId="0" applyFont="1" applyBorder="1"/>
    <xf numFmtId="0" fontId="2" fillId="0" borderId="4" xfId="0" applyFont="1" applyBorder="1"/>
    <xf numFmtId="0" fontId="4" fillId="3" borderId="2" xfId="0" applyFont="1" applyFill="1" applyBorder="1"/>
    <xf numFmtId="0" fontId="4" fillId="3" borderId="3" xfId="0" applyFont="1" applyFill="1" applyBorder="1"/>
    <xf numFmtId="0" fontId="4" fillId="3" borderId="4" xfId="0" applyFont="1" applyFill="1" applyBorder="1"/>
    <xf numFmtId="0" fontId="5" fillId="0" borderId="0" xfId="0" applyFont="1"/>
    <xf numFmtId="0" fontId="1" fillId="0" borderId="5" xfId="0" applyFont="1" applyBorder="1" applyAlignment="1">
      <alignment horizontal="center"/>
    </xf>
    <xf numFmtId="0" fontId="6" fillId="4" borderId="2" xfId="0" applyFont="1" applyFill="1" applyBorder="1"/>
    <xf numFmtId="0" fontId="6" fillId="4" borderId="3" xfId="0" applyFont="1" applyFill="1" applyBorder="1"/>
    <xf numFmtId="0" fontId="6" fillId="4" borderId="4" xfId="0" applyFont="1" applyFill="1" applyBorder="1"/>
    <xf numFmtId="0" fontId="7" fillId="0" borderId="0" xfId="0" applyFont="1"/>
    <xf numFmtId="0" fontId="8" fillId="0" borderId="0" xfId="0" applyFont="1"/>
    <xf numFmtId="0" fontId="9" fillId="0" borderId="1" xfId="0" applyFont="1" applyBorder="1" applyAlignment="1">
      <alignment horizontal="center"/>
    </xf>
    <xf numFmtId="0" fontId="1" fillId="0" borderId="0" xfId="0" applyFont="1" applyAlignment="1">
      <alignment horizontal="center"/>
    </xf>
    <xf numFmtId="0" fontId="9" fillId="0" borderId="6" xfId="0" applyFont="1" applyBorder="1"/>
    <xf numFmtId="0" fontId="9" fillId="0" borderId="7" xfId="0" applyFont="1" applyBorder="1"/>
    <xf numFmtId="0" fontId="9" fillId="0" borderId="8" xfId="0" applyFont="1" applyBorder="1"/>
    <xf numFmtId="0" fontId="9" fillId="0" borderId="0" xfId="0" applyFont="1"/>
    <xf numFmtId="0" fontId="9" fillId="0" borderId="9" xfId="0" applyFont="1" applyBorder="1"/>
    <xf numFmtId="0" fontId="9" fillId="0" borderId="10" xfId="0" applyFont="1" applyBorder="1"/>
    <xf numFmtId="0" fontId="9" fillId="0" borderId="11" xfId="0" applyFont="1" applyBorder="1"/>
    <xf numFmtId="0" fontId="9" fillId="0" borderId="12" xfId="0" applyFont="1" applyBorder="1"/>
    <xf numFmtId="0" fontId="9" fillId="0" borderId="13" xfId="0" applyFont="1" applyBorder="1"/>
    <xf numFmtId="0" fontId="10" fillId="0" borderId="0" xfId="0" applyFont="1" applyAlignment="1">
      <alignment horizontal="center"/>
    </xf>
    <xf numFmtId="0" fontId="9" fillId="0" borderId="0" xfId="0" applyFont="1" applyAlignment="1">
      <alignment horizontal="center"/>
    </xf>
    <xf numFmtId="0" fontId="9" fillId="0" borderId="0" xfId="0" applyFont="1" applyAlignment="1">
      <alignment horizontal="right"/>
    </xf>
    <xf numFmtId="0" fontId="9" fillId="0" borderId="5" xfId="0" applyFont="1" applyBorder="1" applyAlignment="1">
      <alignment horizontal="center"/>
    </xf>
    <xf numFmtId="0" fontId="5" fillId="4" borderId="3" xfId="0" applyFont="1" applyFill="1" applyBorder="1"/>
    <xf numFmtId="0" fontId="2" fillId="6" borderId="0" xfId="0" applyFont="1" applyFill="1"/>
    <xf numFmtId="0" fontId="1" fillId="6" borderId="0" xfId="0" applyFont="1" applyFill="1"/>
    <xf numFmtId="0" fontId="1" fillId="0" borderId="14" xfId="0" applyFont="1" applyBorder="1"/>
    <xf numFmtId="0" fontId="1" fillId="0" borderId="7" xfId="0" applyFont="1" applyBorder="1"/>
    <xf numFmtId="0" fontId="1" fillId="0" borderId="8" xfId="0" applyFont="1" applyBorder="1"/>
    <xf numFmtId="0" fontId="1" fillId="0" borderId="9" xfId="0" applyFont="1" applyBorder="1"/>
    <xf numFmtId="0" fontId="1" fillId="0" borderId="10" xfId="0" applyFont="1" applyBorder="1"/>
    <xf numFmtId="0" fontId="1" fillId="0" borderId="11" xfId="0" applyFont="1" applyBorder="1"/>
    <xf numFmtId="0" fontId="1" fillId="0" borderId="12" xfId="0" applyFont="1" applyBorder="1"/>
    <xf numFmtId="0" fontId="1" fillId="0" borderId="13" xfId="0" applyFont="1" applyBorder="1"/>
    <xf numFmtId="0" fontId="2" fillId="0" borderId="6" xfId="0" applyFont="1" applyBorder="1"/>
    <xf numFmtId="0" fontId="9" fillId="0" borderId="9" xfId="0" applyFont="1" applyBorder="1" applyAlignment="1">
      <alignment horizontal="center"/>
    </xf>
    <xf numFmtId="0" fontId="1" fillId="0" borderId="0" xfId="0" applyFont="1" applyAlignment="1">
      <alignment horizontal="right"/>
    </xf>
    <xf numFmtId="3" fontId="1" fillId="0" borderId="0" xfId="0" applyNumberFormat="1" applyFont="1" applyAlignment="1">
      <alignment horizontal="center"/>
    </xf>
    <xf numFmtId="0" fontId="6" fillId="7" borderId="15" xfId="0" applyFont="1" applyFill="1" applyBorder="1" applyAlignment="1">
      <alignment readingOrder="2"/>
    </xf>
    <xf numFmtId="0" fontId="6" fillId="7" borderId="3" xfId="0" applyFont="1" applyFill="1" applyBorder="1" applyAlignment="1">
      <alignment readingOrder="2"/>
    </xf>
    <xf numFmtId="0" fontId="6" fillId="7" borderId="4" xfId="0" applyFont="1" applyFill="1" applyBorder="1" applyAlignment="1">
      <alignment readingOrder="2"/>
    </xf>
    <xf numFmtId="0" fontId="12" fillId="0" borderId="0" xfId="0" applyFont="1" applyAlignment="1">
      <alignment readingOrder="1"/>
    </xf>
    <xf numFmtId="0" fontId="12" fillId="0" borderId="0" xfId="0" applyFont="1" applyAlignment="1">
      <alignment readingOrder="2"/>
    </xf>
    <xf numFmtId="3" fontId="1" fillId="0" borderId="0" xfId="0" applyNumberFormat="1" applyFont="1"/>
    <xf numFmtId="0" fontId="1" fillId="0" borderId="0" xfId="0" applyFont="1" applyAlignment="1">
      <alignment horizontal="center" wrapText="1"/>
    </xf>
    <xf numFmtId="0" fontId="1" fillId="2" borderId="0" xfId="0" applyFont="1" applyFill="1"/>
    <xf numFmtId="0" fontId="1" fillId="8" borderId="0" xfId="0" applyFont="1" applyFill="1"/>
    <xf numFmtId="0" fontId="1" fillId="9" borderId="0" xfId="0" applyFont="1" applyFill="1"/>
    <xf numFmtId="0" fontId="1" fillId="2" borderId="0" xfId="0" applyFont="1" applyFill="1" applyAlignment="1">
      <alignment horizontal="center"/>
    </xf>
    <xf numFmtId="0" fontId="2" fillId="2" borderId="0" xfId="0" applyFont="1" applyFill="1" applyAlignment="1">
      <alignment readingOrder="2"/>
    </xf>
    <xf numFmtId="0" fontId="1" fillId="0" borderId="0" xfId="0" applyFont="1" applyAlignment="1">
      <alignment readingOrder="2"/>
    </xf>
    <xf numFmtId="0" fontId="2" fillId="0" borderId="6" xfId="0" applyFont="1" applyBorder="1" applyAlignment="1">
      <alignment readingOrder="2"/>
    </xf>
    <xf numFmtId="0" fontId="1" fillId="0" borderId="9" xfId="0" applyFont="1" applyBorder="1" applyAlignment="1">
      <alignment readingOrder="2"/>
    </xf>
    <xf numFmtId="0" fontId="1" fillId="0" borderId="11" xfId="0" applyFont="1" applyBorder="1" applyAlignment="1">
      <alignment readingOrder="2"/>
    </xf>
    <xf numFmtId="0" fontId="12" fillId="0" borderId="7" xfId="0" applyFont="1" applyBorder="1" applyAlignment="1">
      <alignment readingOrder="1"/>
    </xf>
    <xf numFmtId="0" fontId="12" fillId="0" borderId="8" xfId="0" applyFont="1" applyBorder="1" applyAlignment="1">
      <alignment readingOrder="1"/>
    </xf>
    <xf numFmtId="9" fontId="1" fillId="0" borderId="0" xfId="0" applyNumberFormat="1" applyFont="1"/>
    <xf numFmtId="0" fontId="1" fillId="0" borderId="6" xfId="0" applyFont="1" applyBorder="1" applyAlignment="1">
      <alignment readingOrder="2"/>
    </xf>
    <xf numFmtId="0" fontId="2" fillId="10" borderId="6" xfId="0" applyFont="1" applyFill="1" applyBorder="1" applyAlignment="1">
      <alignment readingOrder="2"/>
    </xf>
    <xf numFmtId="0" fontId="1" fillId="10" borderId="7" xfId="0" applyFont="1" applyFill="1" applyBorder="1"/>
    <xf numFmtId="0" fontId="1" fillId="10" borderId="8" xfId="0" applyFont="1" applyFill="1" applyBorder="1"/>
    <xf numFmtId="0" fontId="14" fillId="0" borderId="0" xfId="0" applyFont="1"/>
    <xf numFmtId="0" fontId="14" fillId="0" borderId="10" xfId="0" applyFont="1" applyBorder="1"/>
    <xf numFmtId="0" fontId="1" fillId="0" borderId="14" xfId="0" applyFont="1" applyBorder="1" applyAlignment="1">
      <alignment horizontal="center"/>
    </xf>
    <xf numFmtId="0" fontId="1" fillId="0" borderId="16" xfId="0" applyFont="1" applyBorder="1" applyAlignment="1">
      <alignment readingOrder="2"/>
    </xf>
    <xf numFmtId="0" fontId="1" fillId="0" borderId="17" xfId="0" applyFont="1" applyBorder="1"/>
    <xf numFmtId="0" fontId="9" fillId="0" borderId="9" xfId="0" applyFont="1" applyBorder="1" applyAlignment="1">
      <alignment readingOrder="2"/>
    </xf>
    <xf numFmtId="0" fontId="9" fillId="0" borderId="9" xfId="0" applyFont="1" applyBorder="1" applyAlignment="1">
      <alignment horizontal="center" readingOrder="2"/>
    </xf>
    <xf numFmtId="0" fontId="9" fillId="0" borderId="16" xfId="0" applyFont="1" applyBorder="1" applyAlignment="1">
      <alignment horizontal="center" readingOrder="2"/>
    </xf>
    <xf numFmtId="0" fontId="9" fillId="0" borderId="14" xfId="0" applyFont="1" applyBorder="1" applyAlignment="1">
      <alignment horizontal="center"/>
    </xf>
    <xf numFmtId="0" fontId="9" fillId="2" borderId="0" xfId="0" applyFont="1" applyFill="1" applyAlignment="1">
      <alignment horizontal="center"/>
    </xf>
    <xf numFmtId="0" fontId="9" fillId="2" borderId="9" xfId="0" applyFont="1" applyFill="1" applyBorder="1" applyAlignment="1">
      <alignment horizontal="center" readingOrder="2"/>
    </xf>
    <xf numFmtId="0" fontId="6" fillId="0" borderId="6" xfId="0" applyFont="1" applyBorder="1" applyAlignment="1">
      <alignment readingOrder="2"/>
    </xf>
    <xf numFmtId="0" fontId="9" fillId="9" borderId="0" xfId="0" applyFont="1" applyFill="1" applyAlignment="1">
      <alignment horizontal="center"/>
    </xf>
    <xf numFmtId="0" fontId="9" fillId="6" borderId="0" xfId="0" applyFont="1" applyFill="1" applyAlignment="1">
      <alignment horizontal="center"/>
    </xf>
    <xf numFmtId="0" fontId="9" fillId="5" borderId="0" xfId="0" applyFont="1" applyFill="1" applyAlignment="1">
      <alignment horizontal="center"/>
    </xf>
    <xf numFmtId="0" fontId="9" fillId="5" borderId="9" xfId="0" applyFont="1" applyFill="1" applyBorder="1" applyAlignment="1">
      <alignment horizontal="center" readingOrder="2"/>
    </xf>
    <xf numFmtId="0" fontId="9" fillId="2" borderId="18" xfId="0" applyFont="1" applyFill="1" applyBorder="1" applyAlignment="1">
      <alignment horizontal="center"/>
    </xf>
    <xf numFmtId="0" fontId="9" fillId="0" borderId="19" xfId="0" applyFont="1" applyBorder="1" applyAlignment="1">
      <alignment horizontal="center"/>
    </xf>
    <xf numFmtId="0" fontId="9" fillId="2" borderId="18" xfId="0" applyFont="1" applyFill="1" applyBorder="1" applyAlignment="1">
      <alignment horizontal="center" readingOrder="2"/>
    </xf>
    <xf numFmtId="0" fontId="9" fillId="0" borderId="19" xfId="0" applyFont="1" applyBorder="1" applyAlignment="1">
      <alignment horizontal="center" readingOrder="2"/>
    </xf>
    <xf numFmtId="0" fontId="9" fillId="0" borderId="18" xfId="0" applyFont="1" applyBorder="1" applyAlignment="1">
      <alignment horizontal="center"/>
    </xf>
    <xf numFmtId="0" fontId="9" fillId="0" borderId="18" xfId="0" applyFont="1" applyBorder="1" applyAlignment="1">
      <alignment horizontal="center" readingOrder="2"/>
    </xf>
    <xf numFmtId="0" fontId="2" fillId="0" borderId="9" xfId="0" applyFont="1" applyBorder="1" applyAlignment="1">
      <alignment readingOrder="2"/>
    </xf>
    <xf numFmtId="0" fontId="2" fillId="0" borderId="10" xfId="0" applyFont="1" applyBorder="1"/>
    <xf numFmtId="0" fontId="1" fillId="0" borderId="6" xfId="0" applyFont="1" applyBorder="1"/>
    <xf numFmtId="0" fontId="1" fillId="11" borderId="0" xfId="0" applyFont="1" applyFill="1" applyAlignment="1">
      <alignment horizontal="center"/>
    </xf>
    <xf numFmtId="0" fontId="15" fillId="0" borderId="0" xfId="0" applyFont="1"/>
    <xf numFmtId="14" fontId="1" fillId="8" borderId="2" xfId="0" applyNumberFormat="1" applyFont="1" applyFill="1" applyBorder="1"/>
    <xf numFmtId="0" fontId="1" fillId="8" borderId="3" xfId="0" applyFont="1" applyFill="1" applyBorder="1"/>
    <xf numFmtId="0" fontId="1" fillId="8" borderId="4" xfId="0" applyFont="1" applyFill="1" applyBorder="1"/>
    <xf numFmtId="0" fontId="2" fillId="10" borderId="6" xfId="0" applyFont="1" applyFill="1" applyBorder="1"/>
    <xf numFmtId="0" fontId="1" fillId="0" borderId="0" xfId="0" applyFont="1" applyAlignment="1">
      <alignment horizontal="left"/>
    </xf>
    <xf numFmtId="0" fontId="3" fillId="0" borderId="0" xfId="0" applyFont="1"/>
    <xf numFmtId="0" fontId="9" fillId="0" borderId="16" xfId="0" applyFont="1" applyBorder="1" applyAlignment="1">
      <alignment horizontal="center"/>
    </xf>
    <xf numFmtId="0" fontId="2" fillId="0" borderId="14" xfId="0" applyFont="1" applyBorder="1"/>
    <xf numFmtId="0" fontId="9" fillId="0" borderId="0" xfId="0" applyFont="1" applyAlignment="1">
      <alignment horizontal="right" readingOrder="2"/>
    </xf>
    <xf numFmtId="0" fontId="1" fillId="12" borderId="0" xfId="0" applyFont="1" applyFill="1"/>
    <xf numFmtId="0" fontId="2" fillId="0" borderId="11" xfId="0" applyFont="1" applyBorder="1"/>
    <xf numFmtId="0" fontId="2" fillId="0" borderId="9" xfId="0" applyFont="1" applyBorder="1"/>
    <xf numFmtId="0" fontId="14" fillId="12" borderId="0" xfId="0" applyFont="1" applyFill="1"/>
    <xf numFmtId="0" fontId="2" fillId="0" borderId="7" xfId="0" applyFont="1" applyBorder="1"/>
    <xf numFmtId="0" fontId="2" fillId="0" borderId="8" xfId="0" applyFont="1" applyBorder="1"/>
    <xf numFmtId="0" fontId="2" fillId="0" borderId="12" xfId="0" applyFont="1" applyBorder="1"/>
    <xf numFmtId="0" fontId="2" fillId="0" borderId="13" xfId="0" applyFont="1" applyBorder="1"/>
    <xf numFmtId="0" fontId="2" fillId="5" borderId="0" xfId="0" applyFont="1" applyFill="1"/>
    <xf numFmtId="0" fontId="1" fillId="0" borderId="21" xfId="0" applyFont="1" applyBorder="1"/>
    <xf numFmtId="0" fontId="12" fillId="0" borderId="0" xfId="0" applyFont="1" applyAlignment="1">
      <alignment horizontal="center" readingOrder="2"/>
    </xf>
    <xf numFmtId="0" fontId="12" fillId="0" borderId="0" xfId="0" applyFont="1" applyAlignment="1">
      <alignment horizontal="center" readingOrder="1"/>
    </xf>
    <xf numFmtId="0" fontId="1" fillId="0" borderId="0" xfId="0" quotePrefix="1" applyFont="1"/>
    <xf numFmtId="0" fontId="1" fillId="5" borderId="0" xfId="0" applyFont="1" applyFill="1" applyAlignment="1">
      <alignment horizontal="center"/>
    </xf>
    <xf numFmtId="0" fontId="19" fillId="0" borderId="0" xfId="0" applyFont="1"/>
    <xf numFmtId="0" fontId="5" fillId="0" borderId="2" xfId="0" applyFont="1" applyBorder="1"/>
    <xf numFmtId="0" fontId="6" fillId="2" borderId="8" xfId="0" applyFont="1" applyFill="1" applyBorder="1" applyAlignment="1">
      <alignment horizontal="center"/>
    </xf>
    <xf numFmtId="0" fontId="21" fillId="0" borderId="0" xfId="0" applyFont="1"/>
    <xf numFmtId="0" fontId="2" fillId="0" borderId="0" xfId="0" applyFont="1" applyAlignment="1">
      <alignment horizontal="center"/>
    </xf>
    <xf numFmtId="0" fontId="1" fillId="14" borderId="0" xfId="0" applyFont="1" applyFill="1" applyAlignment="1">
      <alignment horizontal="center"/>
    </xf>
    <xf numFmtId="0" fontId="18" fillId="0" borderId="0" xfId="0" applyFont="1" applyAlignment="1">
      <alignment horizontal="center"/>
    </xf>
    <xf numFmtId="0" fontId="9" fillId="0" borderId="6" xfId="0" applyFont="1" applyBorder="1" applyAlignment="1">
      <alignment horizontal="center"/>
    </xf>
    <xf numFmtId="0" fontId="9" fillId="0" borderId="7" xfId="0" applyFont="1" applyBorder="1" applyAlignment="1">
      <alignment horizontal="right"/>
    </xf>
    <xf numFmtId="0" fontId="10" fillId="0" borderId="9" xfId="0" applyFont="1" applyBorder="1" applyAlignment="1">
      <alignment horizontal="center"/>
    </xf>
    <xf numFmtId="0" fontId="10" fillId="0" borderId="11" xfId="0" applyFont="1" applyBorder="1" applyAlignment="1">
      <alignment horizontal="center"/>
    </xf>
    <xf numFmtId="0" fontId="10" fillId="0" borderId="12" xfId="0" applyFont="1" applyBorder="1" applyAlignment="1">
      <alignment horizontal="center"/>
    </xf>
    <xf numFmtId="0" fontId="9" fillId="0" borderId="12" xfId="0" applyFont="1" applyBorder="1" applyAlignment="1">
      <alignment horizontal="right"/>
    </xf>
    <xf numFmtId="0" fontId="1" fillId="2" borderId="5" xfId="0" applyFont="1" applyFill="1" applyBorder="1" applyAlignment="1">
      <alignment horizontal="center"/>
    </xf>
    <xf numFmtId="0" fontId="1" fillId="5" borderId="5" xfId="0" applyFont="1" applyFill="1" applyBorder="1" applyAlignment="1">
      <alignment horizontal="center"/>
    </xf>
    <xf numFmtId="0" fontId="1" fillId="14" borderId="5" xfId="0" applyFont="1" applyFill="1" applyBorder="1" applyAlignment="1">
      <alignment horizontal="center"/>
    </xf>
    <xf numFmtId="0" fontId="2" fillId="9" borderId="0" xfId="0" applyFont="1" applyFill="1"/>
    <xf numFmtId="0" fontId="2" fillId="10" borderId="2" xfId="0" applyFont="1" applyFill="1" applyBorder="1"/>
    <xf numFmtId="0" fontId="1" fillId="10" borderId="3" xfId="0" applyFont="1" applyFill="1" applyBorder="1"/>
    <xf numFmtId="0" fontId="1" fillId="10" borderId="4" xfId="0" applyFont="1" applyFill="1" applyBorder="1"/>
    <xf numFmtId="0" fontId="23" fillId="0" borderId="0" xfId="0" applyFont="1"/>
    <xf numFmtId="0" fontId="2" fillId="0" borderId="1" xfId="0" applyFont="1" applyBorder="1" applyAlignment="1">
      <alignment horizontal="center"/>
    </xf>
    <xf numFmtId="0" fontId="1" fillId="13" borderId="0" xfId="0" applyFont="1" applyFill="1"/>
    <xf numFmtId="0" fontId="6" fillId="7" borderId="3" xfId="0" applyFont="1" applyFill="1" applyBorder="1" applyAlignment="1">
      <alignment readingOrder="1"/>
    </xf>
    <xf numFmtId="0" fontId="6" fillId="7" borderId="2" xfId="0" applyFont="1" applyFill="1" applyBorder="1" applyAlignment="1">
      <alignment readingOrder="2"/>
    </xf>
    <xf numFmtId="0" fontId="6" fillId="7" borderId="4" xfId="0" applyFont="1" applyFill="1" applyBorder="1" applyAlignment="1">
      <alignment readingOrder="1"/>
    </xf>
    <xf numFmtId="0" fontId="24" fillId="0" borderId="0" xfId="0" applyFont="1"/>
    <xf numFmtId="0" fontId="6" fillId="0" borderId="0" xfId="0" applyFont="1"/>
    <xf numFmtId="0" fontId="2" fillId="10" borderId="2" xfId="0" applyFont="1" applyFill="1" applyBorder="1" applyAlignment="1">
      <alignment readingOrder="2"/>
    </xf>
    <xf numFmtId="0" fontId="2" fillId="10" borderId="3" xfId="0" applyFont="1" applyFill="1" applyBorder="1"/>
    <xf numFmtId="0" fontId="2" fillId="10" borderId="4" xfId="0" applyFont="1" applyFill="1" applyBorder="1"/>
    <xf numFmtId="0" fontId="25" fillId="0" borderId="6" xfId="0" applyFont="1" applyBorder="1" applyAlignment="1">
      <alignment readingOrder="2"/>
    </xf>
    <xf numFmtId="1" fontId="1" fillId="0" borderId="0" xfId="0" applyNumberFormat="1" applyFont="1" applyAlignment="1">
      <alignment horizontal="center"/>
    </xf>
    <xf numFmtId="0" fontId="1" fillId="0" borderId="0" xfId="0" applyFont="1" applyAlignment="1">
      <alignment horizontal="center" readingOrder="2"/>
    </xf>
    <xf numFmtId="0" fontId="1" fillId="0" borderId="14" xfId="0" applyFont="1" applyBorder="1" applyAlignment="1">
      <alignment horizontal="center" readingOrder="2"/>
    </xf>
    <xf numFmtId="0" fontId="23" fillId="0" borderId="0" xfId="0" applyFont="1" applyAlignment="1">
      <alignment horizontal="center"/>
    </xf>
    <xf numFmtId="0" fontId="6" fillId="0" borderId="9" xfId="0" applyFont="1" applyBorder="1"/>
    <xf numFmtId="0" fontId="2" fillId="0" borderId="0" xfId="0" applyFont="1" applyAlignment="1">
      <alignment readingOrder="2"/>
    </xf>
    <xf numFmtId="0" fontId="2" fillId="2" borderId="2" xfId="0" applyFont="1" applyFill="1" applyBorder="1" applyAlignment="1">
      <alignment readingOrder="2"/>
    </xf>
    <xf numFmtId="0" fontId="1" fillId="2" borderId="3" xfId="0" applyFont="1" applyFill="1" applyBorder="1"/>
    <xf numFmtId="0" fontId="1" fillId="2" borderId="4" xfId="0" applyFont="1" applyFill="1" applyBorder="1"/>
    <xf numFmtId="0" fontId="9" fillId="0" borderId="0" xfId="0" applyFont="1" applyAlignment="1">
      <alignment readingOrder="2"/>
    </xf>
    <xf numFmtId="0" fontId="24" fillId="0" borderId="0" xfId="0" applyFont="1" applyAlignment="1">
      <alignment readingOrder="2"/>
    </xf>
    <xf numFmtId="0" fontId="26" fillId="0" borderId="0" xfId="0" applyFont="1" applyAlignment="1">
      <alignment horizontal="center"/>
    </xf>
    <xf numFmtId="0" fontId="9" fillId="0" borderId="8" xfId="0" applyFont="1" applyBorder="1" applyAlignment="1">
      <alignment horizontal="center"/>
    </xf>
    <xf numFmtId="0" fontId="9" fillId="0" borderId="17" xfId="0" applyFont="1" applyBorder="1" applyAlignment="1">
      <alignment horizontal="center"/>
    </xf>
    <xf numFmtId="0" fontId="9" fillId="0" borderId="10" xfId="0" applyFont="1" applyBorder="1" applyAlignment="1">
      <alignment horizontal="center"/>
    </xf>
    <xf numFmtId="0" fontId="9" fillId="0" borderId="11" xfId="0" applyFont="1" applyBorder="1" applyAlignment="1">
      <alignment horizontal="center"/>
    </xf>
    <xf numFmtId="0" fontId="9" fillId="0" borderId="13" xfId="0" applyFont="1" applyBorder="1" applyAlignment="1">
      <alignment horizontal="center"/>
    </xf>
    <xf numFmtId="0" fontId="9" fillId="0" borderId="22" xfId="0" applyFont="1" applyBorder="1" applyAlignment="1">
      <alignment horizontal="center"/>
    </xf>
    <xf numFmtId="0" fontId="9" fillId="15" borderId="23" xfId="0" applyFont="1" applyFill="1" applyBorder="1" applyAlignment="1">
      <alignment horizontal="center"/>
    </xf>
    <xf numFmtId="0" fontId="9" fillId="15" borderId="19" xfId="0" applyFont="1" applyFill="1" applyBorder="1" applyAlignment="1">
      <alignment horizontal="center"/>
    </xf>
    <xf numFmtId="0" fontId="9" fillId="16" borderId="23" xfId="0" applyFont="1" applyFill="1" applyBorder="1" applyAlignment="1">
      <alignment horizontal="center"/>
    </xf>
    <xf numFmtId="0" fontId="9" fillId="15" borderId="9" xfId="0" applyFont="1" applyFill="1" applyBorder="1" applyAlignment="1">
      <alignment horizontal="center" readingOrder="2"/>
    </xf>
    <xf numFmtId="0" fontId="17" fillId="0" borderId="0" xfId="0" applyFont="1"/>
    <xf numFmtId="0" fontId="17" fillId="0" borderId="0" xfId="0" applyFont="1" applyAlignment="1">
      <alignment horizontal="center"/>
    </xf>
    <xf numFmtId="0" fontId="9" fillId="0" borderId="0" xfId="0" applyFont="1" applyAlignment="1">
      <alignment horizontal="left"/>
    </xf>
    <xf numFmtId="0" fontId="9" fillId="16" borderId="9" xfId="0" applyFont="1" applyFill="1" applyBorder="1" applyAlignment="1">
      <alignment horizontal="center" readingOrder="2"/>
    </xf>
    <xf numFmtId="0" fontId="9" fillId="15" borderId="18" xfId="0" applyFont="1" applyFill="1" applyBorder="1" applyAlignment="1">
      <alignment horizontal="center"/>
    </xf>
    <xf numFmtId="0" fontId="9" fillId="16" borderId="19" xfId="0" applyFont="1" applyFill="1" applyBorder="1" applyAlignment="1">
      <alignment horizontal="center"/>
    </xf>
    <xf numFmtId="0" fontId="9" fillId="15" borderId="18" xfId="0" applyFont="1" applyFill="1" applyBorder="1" applyAlignment="1">
      <alignment horizontal="center" readingOrder="2"/>
    </xf>
    <xf numFmtId="0" fontId="9" fillId="16" borderId="19" xfId="0" applyFont="1" applyFill="1" applyBorder="1" applyAlignment="1">
      <alignment horizontal="center" readingOrder="2"/>
    </xf>
    <xf numFmtId="0" fontId="9" fillId="16" borderId="18" xfId="0" applyFont="1" applyFill="1" applyBorder="1" applyAlignment="1">
      <alignment horizontal="center"/>
    </xf>
    <xf numFmtId="0" fontId="9" fillId="16" borderId="18" xfId="0" applyFont="1" applyFill="1" applyBorder="1" applyAlignment="1">
      <alignment horizontal="center" readingOrder="2"/>
    </xf>
    <xf numFmtId="0" fontId="9" fillId="15" borderId="19" xfId="0" applyFont="1" applyFill="1" applyBorder="1" applyAlignment="1">
      <alignment horizontal="center" readingOrder="2"/>
    </xf>
    <xf numFmtId="0" fontId="27" fillId="0" borderId="0" xfId="0" applyFont="1" applyAlignment="1">
      <alignment horizontal="center"/>
    </xf>
    <xf numFmtId="0" fontId="6" fillId="0" borderId="9" xfId="0" applyFont="1" applyBorder="1" applyAlignment="1">
      <alignment readingOrder="2"/>
    </xf>
    <xf numFmtId="0" fontId="9" fillId="2" borderId="23" xfId="0" applyFont="1" applyFill="1" applyBorder="1" applyAlignment="1">
      <alignment horizontal="center" readingOrder="2"/>
    </xf>
    <xf numFmtId="0" fontId="9" fillId="0" borderId="23" xfId="0" applyFont="1" applyBorder="1" applyAlignment="1">
      <alignment horizontal="center" readingOrder="2"/>
    </xf>
    <xf numFmtId="0" fontId="28" fillId="0" borderId="0" xfId="0" applyFont="1" applyAlignment="1">
      <alignment horizontal="center"/>
    </xf>
    <xf numFmtId="0" fontId="9" fillId="9" borderId="9" xfId="0" applyFont="1" applyFill="1" applyBorder="1" applyAlignment="1">
      <alignment horizontal="center"/>
    </xf>
    <xf numFmtId="0" fontId="9" fillId="6" borderId="10" xfId="0" applyFont="1" applyFill="1" applyBorder="1" applyAlignment="1">
      <alignment horizontal="center"/>
    </xf>
    <xf numFmtId="0" fontId="9" fillId="9" borderId="11" xfId="0" applyFont="1" applyFill="1" applyBorder="1" applyAlignment="1">
      <alignment horizontal="center"/>
    </xf>
    <xf numFmtId="0" fontId="9" fillId="6" borderId="13" xfId="0" applyFont="1" applyFill="1" applyBorder="1" applyAlignment="1">
      <alignment horizontal="center"/>
    </xf>
    <xf numFmtId="0" fontId="9" fillId="17" borderId="0" xfId="0" applyFont="1" applyFill="1" applyAlignment="1">
      <alignment horizontal="center"/>
    </xf>
    <xf numFmtId="0" fontId="6" fillId="0" borderId="0" xfId="0" applyFont="1" applyAlignment="1">
      <alignment horizontal="center"/>
    </xf>
    <xf numFmtId="0" fontId="6" fillId="0" borderId="9" xfId="0" applyFont="1" applyBorder="1" applyAlignment="1">
      <alignment horizontal="center" readingOrder="2"/>
    </xf>
    <xf numFmtId="0" fontId="9" fillId="2" borderId="1" xfId="0" applyFont="1" applyFill="1" applyBorder="1" applyAlignment="1">
      <alignment horizontal="center" readingOrder="2"/>
    </xf>
    <xf numFmtId="0" fontId="9" fillId="9" borderId="3" xfId="0" applyFont="1" applyFill="1" applyBorder="1" applyAlignment="1">
      <alignment horizontal="center"/>
    </xf>
    <xf numFmtId="0" fontId="9" fillId="6" borderId="3" xfId="0" applyFont="1" applyFill="1" applyBorder="1" applyAlignment="1">
      <alignment horizontal="center"/>
    </xf>
    <xf numFmtId="0" fontId="9" fillId="9" borderId="2" xfId="0" applyFont="1" applyFill="1" applyBorder="1" applyAlignment="1">
      <alignment horizontal="center"/>
    </xf>
    <xf numFmtId="0" fontId="9" fillId="6" borderId="4" xfId="0" applyFont="1" applyFill="1" applyBorder="1" applyAlignment="1">
      <alignment horizontal="center"/>
    </xf>
    <xf numFmtId="0" fontId="9" fillId="17" borderId="4" xfId="0" applyFont="1" applyFill="1" applyBorder="1" applyAlignment="1">
      <alignment horizontal="center"/>
    </xf>
    <xf numFmtId="0" fontId="9" fillId="0" borderId="1" xfId="0" applyFont="1" applyBorder="1" applyAlignment="1">
      <alignment horizontal="center" readingOrder="2"/>
    </xf>
    <xf numFmtId="0" fontId="29" fillId="0" borderId="0" xfId="0" applyFont="1"/>
    <xf numFmtId="0" fontId="29" fillId="0" borderId="10" xfId="0" applyFont="1" applyBorder="1"/>
    <xf numFmtId="0" fontId="10" fillId="0" borderId="0" xfId="0" applyFont="1"/>
    <xf numFmtId="0" fontId="2" fillId="0" borderId="9" xfId="0" applyFont="1" applyBorder="1" applyAlignment="1">
      <alignment horizontal="center" readingOrder="2"/>
    </xf>
    <xf numFmtId="0" fontId="1" fillId="0" borderId="9" xfId="0" applyFont="1" applyBorder="1" applyAlignment="1">
      <alignment horizontal="center" readingOrder="2"/>
    </xf>
    <xf numFmtId="0" fontId="1" fillId="0" borderId="9" xfId="0" applyFont="1" applyBorder="1" applyAlignment="1">
      <alignment horizontal="center"/>
    </xf>
    <xf numFmtId="0" fontId="1" fillId="0" borderId="10" xfId="0" applyFont="1" applyBorder="1" applyAlignment="1">
      <alignment horizontal="center"/>
    </xf>
    <xf numFmtId="0" fontId="6" fillId="2" borderId="1" xfId="0" applyFont="1" applyFill="1" applyBorder="1" applyAlignment="1">
      <alignment horizontal="center"/>
    </xf>
    <xf numFmtId="0" fontId="2" fillId="0" borderId="11" xfId="0" applyFont="1" applyBorder="1" applyAlignment="1">
      <alignment readingOrder="2"/>
    </xf>
    <xf numFmtId="0" fontId="2" fillId="10" borderId="0" xfId="0" applyFont="1" applyFill="1"/>
    <xf numFmtId="0" fontId="34" fillId="0" borderId="10" xfId="0" applyFont="1" applyBorder="1"/>
    <xf numFmtId="0" fontId="13" fillId="0" borderId="0" xfId="0" applyFont="1"/>
    <xf numFmtId="0" fontId="26" fillId="0" borderId="0" xfId="0" applyFont="1"/>
    <xf numFmtId="0" fontId="34" fillId="0" borderId="0" xfId="0" applyFont="1"/>
    <xf numFmtId="0" fontId="7" fillId="0" borderId="0" xfId="0" applyFont="1" applyAlignment="1">
      <alignment horizontal="center"/>
    </xf>
    <xf numFmtId="0" fontId="2" fillId="2" borderId="0" xfId="0" applyFont="1" applyFill="1" applyAlignment="1">
      <alignment horizontal="center"/>
    </xf>
    <xf numFmtId="0" fontId="2" fillId="0" borderId="0" xfId="0" applyFont="1" applyAlignment="1">
      <alignment horizontal="right"/>
    </xf>
    <xf numFmtId="0" fontId="9" fillId="0" borderId="0" xfId="0" quotePrefix="1" applyFont="1"/>
    <xf numFmtId="0" fontId="2" fillId="18" borderId="0" xfId="0" applyFont="1" applyFill="1"/>
    <xf numFmtId="0" fontId="1" fillId="0" borderId="24" xfId="0" applyFont="1" applyBorder="1" applyAlignment="1">
      <alignment horizontal="center"/>
    </xf>
    <xf numFmtId="0" fontId="2" fillId="0" borderId="16" xfId="0" applyFont="1" applyBorder="1"/>
    <xf numFmtId="0" fontId="22" fillId="0" borderId="20" xfId="0" applyFont="1" applyBorder="1"/>
    <xf numFmtId="0" fontId="5" fillId="0" borderId="7" xfId="0" applyFont="1" applyBorder="1"/>
    <xf numFmtId="0" fontId="5" fillId="0" borderId="12" xfId="0" applyFont="1" applyBorder="1"/>
    <xf numFmtId="0" fontId="1" fillId="0" borderId="14" xfId="0" applyFont="1" applyBorder="1" applyAlignment="1">
      <alignment horizontal="right"/>
    </xf>
    <xf numFmtId="14" fontId="2" fillId="0" borderId="0" xfId="0" applyNumberFormat="1" applyFont="1"/>
    <xf numFmtId="14" fontId="1" fillId="0" borderId="0" xfId="0" applyNumberFormat="1" applyFont="1"/>
    <xf numFmtId="0" fontId="2" fillId="0" borderId="2" xfId="0" applyFont="1" applyBorder="1" applyAlignment="1">
      <alignment readingOrder="2"/>
    </xf>
    <xf numFmtId="14" fontId="2" fillId="0" borderId="4" xfId="0" applyNumberFormat="1" applyFont="1" applyBorder="1"/>
    <xf numFmtId="14" fontId="2" fillId="0" borderId="8" xfId="0" applyNumberFormat="1" applyFont="1" applyBorder="1"/>
    <xf numFmtId="14" fontId="2" fillId="0" borderId="10" xfId="0" applyNumberFormat="1" applyFont="1" applyBorder="1"/>
    <xf numFmtId="14" fontId="2" fillId="0" borderId="13" xfId="0" applyNumberFormat="1" applyFont="1" applyBorder="1"/>
    <xf numFmtId="0" fontId="35" fillId="0" borderId="3" xfId="0" applyFont="1" applyBorder="1"/>
    <xf numFmtId="0" fontId="35" fillId="0" borderId="4" xfId="0" applyFont="1" applyBorder="1"/>
    <xf numFmtId="0" fontId="1" fillId="0" borderId="24" xfId="0" applyFont="1" applyBorder="1"/>
    <xf numFmtId="0" fontId="2" fillId="0" borderId="0" xfId="0" applyFont="1" applyAlignment="1">
      <alignment horizontal="center" readingOrder="2"/>
    </xf>
    <xf numFmtId="0" fontId="5" fillId="0" borderId="0" xfId="0" applyFont="1" applyAlignment="1">
      <alignment horizontal="right" readingOrder="2"/>
    </xf>
    <xf numFmtId="0" fontId="5" fillId="0" borderId="0" xfId="0" applyFont="1" applyAlignment="1">
      <alignment readingOrder="2"/>
    </xf>
    <xf numFmtId="0" fontId="5" fillId="0" borderId="9" xfId="0" applyFont="1" applyBorder="1" applyAlignment="1">
      <alignment readingOrder="2"/>
    </xf>
    <xf numFmtId="0" fontId="5" fillId="0" borderId="11" xfId="0" applyFont="1" applyBorder="1" applyAlignment="1">
      <alignment readingOrder="2"/>
    </xf>
    <xf numFmtId="0" fontId="1" fillId="0" borderId="2" xfId="0" applyFont="1" applyBorder="1" applyAlignment="1">
      <alignment readingOrder="2"/>
    </xf>
    <xf numFmtId="9" fontId="1" fillId="0" borderId="0" xfId="1" applyFont="1"/>
    <xf numFmtId="0" fontId="2" fillId="0" borderId="0" xfId="0" applyFont="1" applyAlignment="1">
      <alignment horizontal="left"/>
    </xf>
    <xf numFmtId="0" fontId="2" fillId="0" borderId="14" xfId="0" applyFont="1" applyBorder="1" applyAlignment="1">
      <alignment horizontal="center" readingOrder="2"/>
    </xf>
    <xf numFmtId="0" fontId="2" fillId="0" borderId="14" xfId="0" applyFont="1" applyBorder="1" applyAlignment="1">
      <alignment horizontal="center"/>
    </xf>
    <xf numFmtId="0" fontId="1" fillId="0" borderId="7" xfId="0" applyFont="1" applyBorder="1" applyAlignment="1">
      <alignment horizontal="center"/>
    </xf>
    <xf numFmtId="0" fontId="1" fillId="0" borderId="12" xfId="0" applyFont="1" applyBorder="1" applyAlignment="1">
      <alignment horizontal="center"/>
    </xf>
    <xf numFmtId="0" fontId="0" fillId="0" borderId="3" xfId="0" applyBorder="1"/>
    <xf numFmtId="0" fontId="0" fillId="0" borderId="4" xfId="0" applyBorder="1"/>
    <xf numFmtId="0" fontId="1" fillId="0" borderId="2" xfId="0" applyFont="1" applyBorder="1"/>
    <xf numFmtId="0" fontId="2" fillId="0" borderId="5" xfId="0" applyFont="1" applyBorder="1" applyAlignment="1">
      <alignment horizontal="center"/>
    </xf>
    <xf numFmtId="0" fontId="35" fillId="0" borderId="7" xfId="0" applyFont="1" applyBorder="1"/>
    <xf numFmtId="0" fontId="35" fillId="0" borderId="8" xfId="0" applyFont="1" applyBorder="1"/>
    <xf numFmtId="0" fontId="35" fillId="0" borderId="12" xfId="0" applyFont="1" applyBorder="1"/>
    <xf numFmtId="0" fontId="35" fillId="0" borderId="13" xfId="0" applyFont="1" applyBorder="1"/>
    <xf numFmtId="0" fontId="35" fillId="0" borderId="0" xfId="0" applyFont="1"/>
    <xf numFmtId="3" fontId="2" fillId="2" borderId="18" xfId="0" applyNumberFormat="1" applyFont="1" applyFill="1" applyBorder="1" applyAlignment="1">
      <alignment horizontal="center"/>
    </xf>
    <xf numFmtId="0" fontId="2" fillId="0" borderId="23" xfId="0" applyFont="1" applyBorder="1" applyAlignment="1">
      <alignment horizontal="center"/>
    </xf>
    <xf numFmtId="0" fontId="2" fillId="0" borderId="19" xfId="0" applyFont="1" applyBorder="1" applyAlignment="1">
      <alignment horizontal="center"/>
    </xf>
    <xf numFmtId="14" fontId="1" fillId="0" borderId="0" xfId="0" applyNumberFormat="1" applyFont="1" applyAlignment="1">
      <alignment horizontal="center"/>
    </xf>
    <xf numFmtId="0" fontId="9" fillId="20" borderId="1" xfId="0" applyFont="1" applyFill="1" applyBorder="1" applyAlignment="1">
      <alignment horizontal="center"/>
    </xf>
    <xf numFmtId="14" fontId="1" fillId="0" borderId="6" xfId="0" applyNumberFormat="1" applyFont="1" applyBorder="1"/>
    <xf numFmtId="0" fontId="2" fillId="3" borderId="2" xfId="0" applyFont="1" applyFill="1" applyBorder="1"/>
    <xf numFmtId="0" fontId="2" fillId="3" borderId="3" xfId="0" applyFont="1" applyFill="1" applyBorder="1"/>
    <xf numFmtId="0" fontId="2" fillId="3" borderId="4" xfId="0" applyFont="1" applyFill="1" applyBorder="1"/>
    <xf numFmtId="0" fontId="2" fillId="21" borderId="6" xfId="0" applyFont="1" applyFill="1" applyBorder="1"/>
    <xf numFmtId="0" fontId="1" fillId="21" borderId="7" xfId="0" applyFont="1" applyFill="1" applyBorder="1"/>
    <xf numFmtId="0" fontId="1" fillId="21" borderId="8" xfId="0" applyFont="1" applyFill="1" applyBorder="1"/>
    <xf numFmtId="0" fontId="2" fillId="21" borderId="2" xfId="0" applyFont="1" applyFill="1" applyBorder="1"/>
    <xf numFmtId="0" fontId="2" fillId="21" borderId="3" xfId="0" applyFont="1" applyFill="1" applyBorder="1"/>
    <xf numFmtId="0" fontId="2" fillId="21" borderId="4" xfId="0" applyFont="1" applyFill="1" applyBorder="1"/>
    <xf numFmtId="0" fontId="34" fillId="0" borderId="0" xfId="0" applyFont="1" applyAlignment="1">
      <alignment horizontal="center"/>
    </xf>
    <xf numFmtId="0" fontId="37" fillId="0" borderId="0" xfId="0" applyFont="1" applyAlignment="1">
      <alignment horizontal="center"/>
    </xf>
    <xf numFmtId="0" fontId="5" fillId="0" borderId="0" xfId="0" applyFont="1" applyAlignment="1">
      <alignment horizontal="center"/>
    </xf>
    <xf numFmtId="0" fontId="13" fillId="0" borderId="0" xfId="0" applyFont="1" applyAlignment="1">
      <alignment horizontal="center"/>
    </xf>
    <xf numFmtId="0" fontId="13" fillId="0" borderId="14" xfId="0" applyFont="1" applyBorder="1" applyAlignment="1">
      <alignment horizontal="center"/>
    </xf>
    <xf numFmtId="0" fontId="1" fillId="0" borderId="6" xfId="0" applyFont="1" applyBorder="1" applyAlignment="1">
      <alignment horizontal="center"/>
    </xf>
    <xf numFmtId="0" fontId="1" fillId="0" borderId="8" xfId="0" applyFont="1" applyBorder="1" applyAlignment="1">
      <alignment horizontal="center"/>
    </xf>
    <xf numFmtId="9" fontId="1" fillId="0" borderId="0" xfId="1" applyFont="1" applyAlignment="1">
      <alignment horizontal="center"/>
    </xf>
    <xf numFmtId="9" fontId="1" fillId="5" borderId="0" xfId="1" applyFont="1" applyFill="1" applyAlignment="1">
      <alignment horizontal="center"/>
    </xf>
    <xf numFmtId="9" fontId="1" fillId="17" borderId="0" xfId="1" applyFont="1" applyFill="1" applyAlignment="1">
      <alignment horizontal="center"/>
    </xf>
    <xf numFmtId="0" fontId="7" fillId="0" borderId="14" xfId="0" applyFont="1" applyBorder="1" applyAlignment="1">
      <alignment horizontal="center"/>
    </xf>
    <xf numFmtId="0" fontId="1" fillId="0" borderId="16" xfId="0" applyFont="1" applyBorder="1" applyAlignment="1">
      <alignment horizontal="center"/>
    </xf>
    <xf numFmtId="0" fontId="1" fillId="0" borderId="17" xfId="0" applyFont="1" applyBorder="1" applyAlignment="1">
      <alignment horizontal="center"/>
    </xf>
    <xf numFmtId="0" fontId="1" fillId="0" borderId="11" xfId="0" applyFont="1" applyBorder="1" applyAlignment="1">
      <alignment horizontal="center"/>
    </xf>
    <xf numFmtId="0" fontId="1" fillId="0" borderId="13" xfId="0" applyFont="1" applyBorder="1" applyAlignment="1">
      <alignment horizontal="center"/>
    </xf>
    <xf numFmtId="0" fontId="1" fillId="22" borderId="0" xfId="0" applyFont="1" applyFill="1"/>
    <xf numFmtId="0" fontId="2" fillId="22" borderId="0" xfId="0" applyFont="1" applyFill="1" applyAlignment="1">
      <alignment readingOrder="2"/>
    </xf>
    <xf numFmtId="0" fontId="1" fillId="2" borderId="0" xfId="0" applyFont="1" applyFill="1" applyAlignment="1">
      <alignment horizontal="center" readingOrder="2"/>
    </xf>
    <xf numFmtId="0" fontId="38" fillId="0" borderId="2" xfId="0" applyFont="1" applyBorder="1"/>
    <xf numFmtId="0" fontId="11" fillId="9" borderId="0" xfId="0" applyFont="1" applyFill="1"/>
    <xf numFmtId="0" fontId="37" fillId="0" borderId="0" xfId="0" applyFont="1"/>
    <xf numFmtId="14" fontId="1" fillId="8" borderId="6" xfId="0" applyNumberFormat="1" applyFont="1" applyFill="1" applyBorder="1"/>
    <xf numFmtId="0" fontId="1" fillId="8" borderId="7" xfId="0" applyFont="1" applyFill="1" applyBorder="1"/>
    <xf numFmtId="0" fontId="1" fillId="8" borderId="8" xfId="0" applyFont="1" applyFill="1" applyBorder="1"/>
    <xf numFmtId="14" fontId="1" fillId="8" borderId="9" xfId="0" applyNumberFormat="1" applyFont="1" applyFill="1" applyBorder="1"/>
    <xf numFmtId="0" fontId="1" fillId="8" borderId="0" xfId="0" applyFont="1" applyFill="1" applyAlignment="1">
      <alignment horizontal="right"/>
    </xf>
    <xf numFmtId="0" fontId="1" fillId="8" borderId="10" xfId="0" applyFont="1" applyFill="1" applyBorder="1"/>
    <xf numFmtId="14" fontId="1" fillId="8" borderId="11" xfId="0" applyNumberFormat="1" applyFont="1" applyFill="1" applyBorder="1"/>
    <xf numFmtId="0" fontId="1" fillId="8" borderId="12" xfId="0" applyFont="1" applyFill="1" applyBorder="1"/>
    <xf numFmtId="0" fontId="1" fillId="8" borderId="13" xfId="0" applyFont="1" applyFill="1" applyBorder="1"/>
    <xf numFmtId="0" fontId="26" fillId="8" borderId="0" xfId="0" applyFont="1" applyFill="1"/>
    <xf numFmtId="9" fontId="1" fillId="0" borderId="12" xfId="0" applyNumberFormat="1" applyFont="1" applyBorder="1"/>
    <xf numFmtId="0" fontId="1" fillId="15" borderId="0" xfId="0" applyFont="1" applyFill="1" applyAlignment="1">
      <alignment horizontal="center" readingOrder="2"/>
    </xf>
    <xf numFmtId="0" fontId="1" fillId="15" borderId="0" xfId="0" applyFont="1" applyFill="1" applyAlignment="1">
      <alignment horizontal="center"/>
    </xf>
    <xf numFmtId="0" fontId="4" fillId="0" borderId="0" xfId="0" applyFont="1" applyAlignment="1">
      <alignment readingOrder="2"/>
    </xf>
    <xf numFmtId="0" fontId="1" fillId="0" borderId="6" xfId="0" applyFont="1" applyBorder="1" applyAlignment="1">
      <alignment horizontal="center" readingOrder="2"/>
    </xf>
    <xf numFmtId="0" fontId="1" fillId="5" borderId="9" xfId="0" applyFont="1" applyFill="1" applyBorder="1" applyAlignment="1">
      <alignment horizontal="center" readingOrder="2"/>
    </xf>
    <xf numFmtId="0" fontId="1" fillId="0" borderId="11" xfId="0" applyFont="1" applyBorder="1" applyAlignment="1">
      <alignment horizontal="center" readingOrder="2"/>
    </xf>
    <xf numFmtId="0" fontId="6" fillId="2" borderId="19" xfId="0" applyFont="1" applyFill="1" applyBorder="1" applyAlignment="1">
      <alignment horizontal="center"/>
    </xf>
    <xf numFmtId="0" fontId="9" fillId="0" borderId="5" xfId="0" applyFont="1" applyBorder="1" applyAlignment="1">
      <alignment horizontal="center" readingOrder="2"/>
    </xf>
    <xf numFmtId="0" fontId="1" fillId="0" borderId="5" xfId="0" applyFont="1" applyBorder="1" applyAlignment="1">
      <alignment horizontal="center" readingOrder="2"/>
    </xf>
    <xf numFmtId="0" fontId="9" fillId="19" borderId="0" xfId="0" applyFont="1" applyFill="1" applyAlignment="1">
      <alignment horizontal="center"/>
    </xf>
    <xf numFmtId="0" fontId="9" fillId="19" borderId="18" xfId="0" applyFont="1" applyFill="1" applyBorder="1" applyAlignment="1">
      <alignment horizontal="center"/>
    </xf>
    <xf numFmtId="0" fontId="9" fillId="19" borderId="23" xfId="0" applyFont="1" applyFill="1" applyBorder="1" applyAlignment="1">
      <alignment horizontal="center"/>
    </xf>
    <xf numFmtId="0" fontId="9" fillId="19" borderId="19" xfId="0" applyFont="1" applyFill="1" applyBorder="1" applyAlignment="1">
      <alignment horizontal="center"/>
    </xf>
    <xf numFmtId="0" fontId="34" fillId="0" borderId="5" xfId="0" applyFont="1" applyBorder="1" applyAlignment="1">
      <alignment horizontal="center"/>
    </xf>
    <xf numFmtId="0" fontId="1" fillId="23" borderId="5" xfId="0" applyFont="1" applyFill="1" applyBorder="1" applyAlignment="1">
      <alignment horizontal="center"/>
    </xf>
    <xf numFmtId="0" fontId="2" fillId="21" borderId="0" xfId="0" applyFont="1" applyFill="1"/>
    <xf numFmtId="0" fontId="1" fillId="21" borderId="0" xfId="0" applyFont="1" applyFill="1"/>
    <xf numFmtId="0" fontId="40" fillId="0" borderId="0" xfId="2"/>
    <xf numFmtId="0" fontId="2" fillId="0" borderId="0" xfId="0" applyFont="1" applyAlignment="1">
      <alignment horizontal="center"/>
    </xf>
    <xf numFmtId="0" fontId="1" fillId="0" borderId="0" xfId="0" applyFont="1" applyAlignment="1">
      <alignment horizontal="center"/>
    </xf>
    <xf numFmtId="0" fontId="1" fillId="0" borderId="14" xfId="0" applyFont="1" applyBorder="1" applyAlignment="1">
      <alignment horizontal="center"/>
    </xf>
    <xf numFmtId="0" fontId="1" fillId="2" borderId="0" xfId="0" applyFont="1" applyFill="1" applyAlignment="1">
      <alignment horizontal="center"/>
    </xf>
    <xf numFmtId="0" fontId="1" fillId="5" borderId="0" xfId="0" applyFont="1" applyFill="1" applyAlignment="1">
      <alignment horizontal="center"/>
    </xf>
    <xf numFmtId="0" fontId="1" fillId="0" borderId="25" xfId="0" applyFont="1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0" borderId="2" xfId="0" applyFont="1" applyBorder="1" applyAlignment="1">
      <alignment horizontal="center"/>
    </xf>
    <xf numFmtId="0" fontId="1" fillId="0" borderId="3" xfId="0" applyFont="1" applyBorder="1" applyAlignment="1">
      <alignment horizontal="center"/>
    </xf>
    <xf numFmtId="0" fontId="1" fillId="0" borderId="4" xfId="0" applyFont="1" applyBorder="1" applyAlignment="1">
      <alignment horizontal="center"/>
    </xf>
    <xf numFmtId="0" fontId="1" fillId="6" borderId="0" xfId="0" applyFont="1" applyFill="1" applyAlignment="1">
      <alignment horizontal="center"/>
    </xf>
    <xf numFmtId="0" fontId="1" fillId="0" borderId="2" xfId="0" applyFont="1" applyBorder="1" applyAlignment="1">
      <alignment horizontal="center" readingOrder="2"/>
    </xf>
    <xf numFmtId="0" fontId="1" fillId="0" borderId="3" xfId="0" applyFont="1" applyBorder="1" applyAlignment="1">
      <alignment horizontal="center" readingOrder="2"/>
    </xf>
    <xf numFmtId="0" fontId="1" fillId="0" borderId="4" xfId="0" applyFont="1" applyBorder="1" applyAlignment="1">
      <alignment horizontal="center" readingOrder="2"/>
    </xf>
    <xf numFmtId="0" fontId="1" fillId="0" borderId="9" xfId="0" applyFont="1" applyBorder="1" applyAlignment="1">
      <alignment horizontal="center"/>
    </xf>
    <xf numFmtId="0" fontId="1" fillId="8" borderId="0" xfId="0" applyFont="1" applyFill="1" applyAlignment="1">
      <alignment horizontal="center"/>
    </xf>
    <xf numFmtId="0" fontId="1" fillId="0" borderId="6" xfId="0" applyFont="1" applyBorder="1" applyAlignment="1">
      <alignment horizontal="center"/>
    </xf>
    <xf numFmtId="0" fontId="1" fillId="0" borderId="8" xfId="0" applyFont="1" applyBorder="1" applyAlignment="1">
      <alignment horizontal="center"/>
    </xf>
    <xf numFmtId="0" fontId="1" fillId="0" borderId="10" xfId="0" applyFont="1" applyBorder="1" applyAlignment="1">
      <alignment horizontal="center"/>
    </xf>
    <xf numFmtId="0" fontId="1" fillId="0" borderId="0" xfId="0" applyFont="1" applyAlignment="1">
      <alignment horizontal="right"/>
    </xf>
    <xf numFmtId="0" fontId="1" fillId="0" borderId="0" xfId="0" applyFont="1" applyAlignment="1">
      <alignment horizontal="left" vertical="center"/>
    </xf>
    <xf numFmtId="0" fontId="1" fillId="0" borderId="0" xfId="0" applyFont="1" applyAlignment="1">
      <alignment horizontal="center" wrapText="1"/>
    </xf>
    <xf numFmtId="0" fontId="39" fillId="2" borderId="0" xfId="0" applyFont="1" applyFill="1" applyAlignment="1">
      <alignment horizontal="center"/>
    </xf>
    <xf numFmtId="0" fontId="2" fillId="2" borderId="0" xfId="0" applyFont="1" applyFill="1" applyAlignment="1">
      <alignment horizontal="center" readingOrder="2"/>
    </xf>
  </cellXfs>
  <cellStyles count="3">
    <cellStyle name="Hyperlink" xfId="2" builtinId="8"/>
    <cellStyle name="Normal" xfId="0" builtinId="0"/>
    <cellStyle name="Percent" xfId="1" builtinId="5"/>
  </cellStyles>
  <dxfs count="0"/>
  <tableStyles count="0" defaultTableStyle="TableStyleMedium2" defaultPivotStyle="PivotStyleLight16"/>
  <colors>
    <mruColors>
      <color rgb="FF00FA00"/>
      <color rgb="FF8EFA00"/>
      <color rgb="FFFF7E79"/>
      <color rgb="FFFF93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'Lecture 1'!#REF!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SeriesTitle>
                <c15:tx>
                  <c:strRef>
                    <c:extLst>
                      <c:ext uri="{02D57815-91ED-43cb-92C2-25804820EDAC}">
                        <c15:formulaRef>
                          <c15:sqref>'Lecture 1'!#REF!</c15:sqref>
                        </c15:formulaRef>
                      </c:ext>
                    </c:extLst>
                    <c:strCache>
                      <c:ptCount val="1"/>
                      <c:pt idx="0">
                        <c:v>#REF!</c:v>
                      </c:pt>
                    </c:strCache>
                  </c:strRef>
                </c15:tx>
              </c15:filteredSeriesTitle>
            </c:ext>
            <c:ext xmlns:c15="http://schemas.microsoft.com/office/drawing/2012/chart" uri="{02D57815-91ED-43cb-92C2-25804820EDAC}">
              <c15:filteredCategoryTitle>
                <c15:cat>
                  <c:multiLvlStrRef>
                    <c:extLst>
                      <c:ext uri="{02D57815-91ED-43cb-92C2-25804820EDAC}">
                        <c15:formulaRef>
                          <c15:sqref>'Lecture 1'!#REF!</c15:sqref>
                        </c15:formulaRef>
                      </c:ext>
                    </c:extLst>
                  </c:multiLvlStrRef>
                </c15:cat>
              </c15:filteredCategoryTitle>
            </c:ext>
            <c:ext xmlns:c16="http://schemas.microsoft.com/office/drawing/2014/chart" uri="{C3380CC4-5D6E-409C-BE32-E72D297353CC}">
              <c16:uniqueId val="{00000000-D945-C34B-81F9-2AA1C659A3C1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'Lecture 1'!#REF!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SeriesTitle>
                <c15:tx>
                  <c:strRef>
                    <c:extLst>
                      <c:ext uri="{02D57815-91ED-43cb-92C2-25804820EDAC}">
                        <c15:formulaRef>
                          <c15:sqref>'Lecture 1'!#REF!</c15:sqref>
                        </c15:formulaRef>
                      </c:ext>
                    </c:extLst>
                    <c:strCache>
                      <c:ptCount val="1"/>
                      <c:pt idx="0">
                        <c:v>#REF!</c:v>
                      </c:pt>
                    </c:strCache>
                  </c:strRef>
                </c15:tx>
              </c15:filteredSeriesTitle>
            </c:ext>
            <c:ext xmlns:c15="http://schemas.microsoft.com/office/drawing/2012/chart" uri="{02D57815-91ED-43cb-92C2-25804820EDAC}">
              <c15:filteredCategoryTitle>
                <c15:cat>
                  <c:multiLvlStrRef>
                    <c:extLst>
                      <c:ext uri="{02D57815-91ED-43cb-92C2-25804820EDAC}">
                        <c15:formulaRef>
                          <c15:sqref>'Lecture 1'!#REF!</c15:sqref>
                        </c15:formulaRef>
                      </c:ext>
                    </c:extLst>
                  </c:multiLvlStrRef>
                </c15:cat>
              </c15:filteredCategoryTitle>
            </c:ext>
            <c:ext xmlns:c16="http://schemas.microsoft.com/office/drawing/2014/chart" uri="{C3380CC4-5D6E-409C-BE32-E72D297353CC}">
              <c16:uniqueId val="{00000001-D945-C34B-81F9-2AA1C659A3C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47969647"/>
        <c:axId val="1147772607"/>
      </c:lineChart>
      <c:catAx>
        <c:axId val="114796964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147772607"/>
        <c:crosses val="autoZero"/>
        <c:auto val="1"/>
        <c:lblAlgn val="ctr"/>
        <c:lblOffset val="100"/>
        <c:noMultiLvlLbl val="0"/>
      </c:catAx>
      <c:valAx>
        <c:axId val="114777260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1479696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title>
    <c:autoTitleDeleted val="0"/>
    <c:plotArea>
      <c:layout/>
      <c:lineChart>
        <c:grouping val="standard"/>
        <c:varyColors val="0"/>
        <c:ser>
          <c:idx val="4"/>
          <c:order val="0"/>
          <c:tx>
            <c:strRef>
              <c:f>'Lecture 8 New'!$F$359</c:f>
              <c:strCache>
                <c:ptCount val="1"/>
                <c:pt idx="0">
                  <c:v>P&amp;L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'Lecture 8 New'!$A$360:$A$370</c:f>
              <c:numCache>
                <c:formatCode>General</c:formatCode>
                <c:ptCount val="11"/>
                <c:pt idx="0">
                  <c:v>0</c:v>
                </c:pt>
                <c:pt idx="1">
                  <c:v>10</c:v>
                </c:pt>
                <c:pt idx="2">
                  <c:v>20</c:v>
                </c:pt>
                <c:pt idx="3">
                  <c:v>30</c:v>
                </c:pt>
                <c:pt idx="4">
                  <c:v>40</c:v>
                </c:pt>
                <c:pt idx="5">
                  <c:v>50</c:v>
                </c:pt>
                <c:pt idx="6">
                  <c:v>60</c:v>
                </c:pt>
                <c:pt idx="7">
                  <c:v>70</c:v>
                </c:pt>
                <c:pt idx="8">
                  <c:v>80</c:v>
                </c:pt>
                <c:pt idx="9">
                  <c:v>90</c:v>
                </c:pt>
                <c:pt idx="10">
                  <c:v>100</c:v>
                </c:pt>
              </c:numCache>
            </c:numRef>
          </c:cat>
          <c:val>
            <c:numRef>
              <c:f>'Lecture 8 New'!$F$360:$F$370</c:f>
              <c:numCache>
                <c:formatCode>General</c:formatCode>
                <c:ptCount val="11"/>
                <c:pt idx="0">
                  <c:v>-2</c:v>
                </c:pt>
                <c:pt idx="1">
                  <c:v>-2</c:v>
                </c:pt>
                <c:pt idx="2">
                  <c:v>-2</c:v>
                </c:pt>
                <c:pt idx="3">
                  <c:v>-2</c:v>
                </c:pt>
                <c:pt idx="4">
                  <c:v>-2</c:v>
                </c:pt>
                <c:pt idx="5">
                  <c:v>8</c:v>
                </c:pt>
                <c:pt idx="6">
                  <c:v>-2</c:v>
                </c:pt>
                <c:pt idx="7">
                  <c:v>-2</c:v>
                </c:pt>
                <c:pt idx="8">
                  <c:v>-2</c:v>
                </c:pt>
                <c:pt idx="9">
                  <c:v>-2</c:v>
                </c:pt>
                <c:pt idx="10">
                  <c:v>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6E3-5A40-8F12-4680FB61BC9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62280352"/>
        <c:axId val="1202646271"/>
      </c:lineChart>
      <c:catAx>
        <c:axId val="96228035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202646271"/>
        <c:crosses val="autoZero"/>
        <c:auto val="1"/>
        <c:lblAlgn val="ctr"/>
        <c:lblOffset val="100"/>
        <c:noMultiLvlLbl val="0"/>
      </c:catAx>
      <c:valAx>
        <c:axId val="120264627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6228035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4"/>
          <c:order val="0"/>
          <c:tx>
            <c:strRef>
              <c:f>'Lecture 10 New'!$F$208</c:f>
              <c:strCache>
                <c:ptCount val="1"/>
                <c:pt idx="0">
                  <c:v>Total P&amp;L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'Lecture 10 New'!$A$209:$A$219</c:f>
              <c:numCache>
                <c:formatCode>General</c:formatCode>
                <c:ptCount val="11"/>
                <c:pt idx="0">
                  <c:v>0</c:v>
                </c:pt>
                <c:pt idx="1">
                  <c:v>10</c:v>
                </c:pt>
                <c:pt idx="2">
                  <c:v>20</c:v>
                </c:pt>
                <c:pt idx="3">
                  <c:v>30</c:v>
                </c:pt>
                <c:pt idx="4">
                  <c:v>40</c:v>
                </c:pt>
                <c:pt idx="5">
                  <c:v>50</c:v>
                </c:pt>
                <c:pt idx="6">
                  <c:v>60</c:v>
                </c:pt>
                <c:pt idx="7">
                  <c:v>70</c:v>
                </c:pt>
                <c:pt idx="8">
                  <c:v>80</c:v>
                </c:pt>
                <c:pt idx="9">
                  <c:v>90</c:v>
                </c:pt>
                <c:pt idx="10">
                  <c:v>100</c:v>
                </c:pt>
              </c:numCache>
            </c:numRef>
          </c:cat>
          <c:val>
            <c:numRef>
              <c:f>'Lecture 10 New'!$F$209:$F$219</c:f>
              <c:numCache>
                <c:formatCode>General</c:formatCode>
                <c:ptCount val="11"/>
                <c:pt idx="0">
                  <c:v>5</c:v>
                </c:pt>
                <c:pt idx="1">
                  <c:v>5</c:v>
                </c:pt>
                <c:pt idx="2">
                  <c:v>5</c:v>
                </c:pt>
                <c:pt idx="3">
                  <c:v>5</c:v>
                </c:pt>
                <c:pt idx="4">
                  <c:v>-5</c:v>
                </c:pt>
                <c:pt idx="5">
                  <c:v>-15</c:v>
                </c:pt>
                <c:pt idx="6">
                  <c:v>-15</c:v>
                </c:pt>
                <c:pt idx="7">
                  <c:v>-15</c:v>
                </c:pt>
                <c:pt idx="8">
                  <c:v>-15</c:v>
                </c:pt>
                <c:pt idx="9">
                  <c:v>-15</c:v>
                </c:pt>
                <c:pt idx="10">
                  <c:v>-15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8E2-5C42-BAC0-D247B44D6DF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32812512"/>
        <c:axId val="633047904"/>
      </c:lineChart>
      <c:catAx>
        <c:axId val="6328125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633047904"/>
        <c:crosses val="autoZero"/>
        <c:auto val="1"/>
        <c:lblAlgn val="ctr"/>
        <c:lblOffset val="100"/>
        <c:noMultiLvlLbl val="0"/>
      </c:catAx>
      <c:valAx>
        <c:axId val="633047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6328125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title>
    <c:autoTitleDeleted val="0"/>
    <c:plotArea>
      <c:layout/>
      <c:lineChart>
        <c:grouping val="standard"/>
        <c:varyColors val="0"/>
        <c:ser>
          <c:idx val="4"/>
          <c:order val="0"/>
          <c:tx>
            <c:strRef>
              <c:f>'Lecture 10 New'!$F$162</c:f>
              <c:strCache>
                <c:ptCount val="1"/>
                <c:pt idx="0">
                  <c:v>Total P&amp;L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'Lecture 10 New'!$A$163:$A$173</c:f>
              <c:numCache>
                <c:formatCode>General</c:formatCode>
                <c:ptCount val="11"/>
                <c:pt idx="0">
                  <c:v>50</c:v>
                </c:pt>
                <c:pt idx="1">
                  <c:v>60</c:v>
                </c:pt>
                <c:pt idx="2">
                  <c:v>70</c:v>
                </c:pt>
                <c:pt idx="3">
                  <c:v>80</c:v>
                </c:pt>
                <c:pt idx="4">
                  <c:v>90</c:v>
                </c:pt>
                <c:pt idx="5">
                  <c:v>100</c:v>
                </c:pt>
                <c:pt idx="6">
                  <c:v>110</c:v>
                </c:pt>
                <c:pt idx="7">
                  <c:v>120</c:v>
                </c:pt>
                <c:pt idx="8">
                  <c:v>130</c:v>
                </c:pt>
                <c:pt idx="9">
                  <c:v>140</c:v>
                </c:pt>
                <c:pt idx="10">
                  <c:v>150</c:v>
                </c:pt>
              </c:numCache>
            </c:numRef>
          </c:cat>
          <c:val>
            <c:numRef>
              <c:f>'Lecture 10 New'!$F$163:$F$173</c:f>
              <c:numCache>
                <c:formatCode>General</c:formatCode>
                <c:ptCount val="11"/>
                <c:pt idx="0">
                  <c:v>25</c:v>
                </c:pt>
                <c:pt idx="1">
                  <c:v>25</c:v>
                </c:pt>
                <c:pt idx="2">
                  <c:v>25</c:v>
                </c:pt>
                <c:pt idx="3">
                  <c:v>25</c:v>
                </c:pt>
                <c:pt idx="4">
                  <c:v>20</c:v>
                </c:pt>
                <c:pt idx="5">
                  <c:v>10</c:v>
                </c:pt>
                <c:pt idx="6">
                  <c:v>0</c:v>
                </c:pt>
                <c:pt idx="7">
                  <c:v>-10</c:v>
                </c:pt>
                <c:pt idx="8">
                  <c:v>-20</c:v>
                </c:pt>
                <c:pt idx="9">
                  <c:v>-20</c:v>
                </c:pt>
                <c:pt idx="10">
                  <c:v>-20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495-B644-AD6D-5D23527541A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07591472"/>
        <c:axId val="1206951920"/>
      </c:lineChart>
      <c:catAx>
        <c:axId val="12075914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206951920"/>
        <c:crosses val="autoZero"/>
        <c:auto val="1"/>
        <c:lblAlgn val="ctr"/>
        <c:lblOffset val="100"/>
        <c:noMultiLvlLbl val="0"/>
      </c:catAx>
      <c:valAx>
        <c:axId val="12069519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20759147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he-IL"/>
              <a:t>תזרים בפקיעה ורווח והפסד - </a:t>
            </a:r>
            <a:r>
              <a:rPr lang="en-US"/>
              <a:t>short call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'Lecture 3 New'!$B$474</c:f>
              <c:strCache>
                <c:ptCount val="1"/>
                <c:pt idx="0">
                  <c:v>cf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'Lecture 3 New'!$A$475:$A$483</c:f>
              <c:numCache>
                <c:formatCode>General</c:formatCode>
                <c:ptCount val="9"/>
                <c:pt idx="0">
                  <c:v>60</c:v>
                </c:pt>
                <c:pt idx="1">
                  <c:v>70</c:v>
                </c:pt>
                <c:pt idx="2">
                  <c:v>80</c:v>
                </c:pt>
                <c:pt idx="3">
                  <c:v>90</c:v>
                </c:pt>
                <c:pt idx="4">
                  <c:v>100</c:v>
                </c:pt>
                <c:pt idx="5">
                  <c:v>110</c:v>
                </c:pt>
                <c:pt idx="6">
                  <c:v>120</c:v>
                </c:pt>
                <c:pt idx="7">
                  <c:v>130</c:v>
                </c:pt>
                <c:pt idx="8">
                  <c:v>140</c:v>
                </c:pt>
              </c:numCache>
            </c:numRef>
          </c:cat>
          <c:val>
            <c:numRef>
              <c:f>'Lecture 3 New'!$B$475:$B$483</c:f>
              <c:numCache>
                <c:formatCode>General</c:formatCode>
                <c:ptCount val="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-10</c:v>
                </c:pt>
                <c:pt idx="6">
                  <c:v>-20</c:v>
                </c:pt>
                <c:pt idx="7">
                  <c:v>-30</c:v>
                </c:pt>
                <c:pt idx="8">
                  <c:v>-40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DEA-1043-9403-3AEC90DE052E}"/>
            </c:ext>
          </c:extLst>
        </c:ser>
        <c:ser>
          <c:idx val="1"/>
          <c:order val="1"/>
          <c:tx>
            <c:strRef>
              <c:f>'Lecture 3 New'!$C$474</c:f>
              <c:strCache>
                <c:ptCount val="1"/>
                <c:pt idx="0">
                  <c:v>p&amp;l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'Lecture 3 New'!$A$475:$A$483</c:f>
              <c:numCache>
                <c:formatCode>General</c:formatCode>
                <c:ptCount val="9"/>
                <c:pt idx="0">
                  <c:v>60</c:v>
                </c:pt>
                <c:pt idx="1">
                  <c:v>70</c:v>
                </c:pt>
                <c:pt idx="2">
                  <c:v>80</c:v>
                </c:pt>
                <c:pt idx="3">
                  <c:v>90</c:v>
                </c:pt>
                <c:pt idx="4">
                  <c:v>100</c:v>
                </c:pt>
                <c:pt idx="5">
                  <c:v>110</c:v>
                </c:pt>
                <c:pt idx="6">
                  <c:v>120</c:v>
                </c:pt>
                <c:pt idx="7">
                  <c:v>130</c:v>
                </c:pt>
                <c:pt idx="8">
                  <c:v>140</c:v>
                </c:pt>
              </c:numCache>
            </c:numRef>
          </c:cat>
          <c:val>
            <c:numRef>
              <c:f>'Lecture 3 New'!$C$475:$C$483</c:f>
              <c:numCache>
                <c:formatCode>General</c:formatCode>
                <c:ptCount val="9"/>
                <c:pt idx="0">
                  <c:v>20</c:v>
                </c:pt>
                <c:pt idx="1">
                  <c:v>20</c:v>
                </c:pt>
                <c:pt idx="2">
                  <c:v>20</c:v>
                </c:pt>
                <c:pt idx="3">
                  <c:v>20</c:v>
                </c:pt>
                <c:pt idx="4">
                  <c:v>20</c:v>
                </c:pt>
                <c:pt idx="5">
                  <c:v>10</c:v>
                </c:pt>
                <c:pt idx="6">
                  <c:v>0</c:v>
                </c:pt>
                <c:pt idx="7">
                  <c:v>-10</c:v>
                </c:pt>
                <c:pt idx="8">
                  <c:v>-20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DEA-1043-9403-3AEC90DE052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92488720"/>
        <c:axId val="1392459616"/>
      </c:lineChart>
      <c:catAx>
        <c:axId val="13924887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392459616"/>
        <c:crosses val="autoZero"/>
        <c:auto val="1"/>
        <c:lblAlgn val="ctr"/>
        <c:lblOffset val="100"/>
        <c:noMultiLvlLbl val="0"/>
      </c:catAx>
      <c:valAx>
        <c:axId val="13924596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3924887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'Lecture 3 New'!$B$511</c:f>
              <c:strCache>
                <c:ptCount val="1"/>
                <c:pt idx="0">
                  <c:v>cf long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'Lecture 3 New'!$A$512:$A$518</c:f>
              <c:numCache>
                <c:formatCode>General</c:formatCode>
                <c:ptCount val="7"/>
                <c:pt idx="0">
                  <c:v>20</c:v>
                </c:pt>
                <c:pt idx="1">
                  <c:v>30</c:v>
                </c:pt>
                <c:pt idx="2">
                  <c:v>40</c:v>
                </c:pt>
                <c:pt idx="3">
                  <c:v>50</c:v>
                </c:pt>
                <c:pt idx="4">
                  <c:v>60</c:v>
                </c:pt>
                <c:pt idx="5">
                  <c:v>70</c:v>
                </c:pt>
                <c:pt idx="6">
                  <c:v>80</c:v>
                </c:pt>
              </c:numCache>
            </c:numRef>
          </c:cat>
          <c:val>
            <c:numRef>
              <c:f>'Lecture 3 New'!$B$512:$B$518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10</c:v>
                </c:pt>
                <c:pt idx="5">
                  <c:v>20</c:v>
                </c:pt>
                <c:pt idx="6">
                  <c:v>30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640-C84C-9C98-3A5E09D6F15F}"/>
            </c:ext>
          </c:extLst>
        </c:ser>
        <c:ser>
          <c:idx val="2"/>
          <c:order val="1"/>
          <c:tx>
            <c:strRef>
              <c:f>'Lecture 3 New'!$D$511</c:f>
              <c:strCache>
                <c:ptCount val="1"/>
                <c:pt idx="0">
                  <c:v>cf short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'Lecture 3 New'!$A$512:$A$518</c:f>
              <c:numCache>
                <c:formatCode>General</c:formatCode>
                <c:ptCount val="7"/>
                <c:pt idx="0">
                  <c:v>20</c:v>
                </c:pt>
                <c:pt idx="1">
                  <c:v>30</c:v>
                </c:pt>
                <c:pt idx="2">
                  <c:v>40</c:v>
                </c:pt>
                <c:pt idx="3">
                  <c:v>50</c:v>
                </c:pt>
                <c:pt idx="4">
                  <c:v>60</c:v>
                </c:pt>
                <c:pt idx="5">
                  <c:v>70</c:v>
                </c:pt>
                <c:pt idx="6">
                  <c:v>80</c:v>
                </c:pt>
              </c:numCache>
            </c:numRef>
          </c:cat>
          <c:val>
            <c:numRef>
              <c:f>'Lecture 3 New'!$D$512:$D$518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-10</c:v>
                </c:pt>
                <c:pt idx="5">
                  <c:v>-20</c:v>
                </c:pt>
                <c:pt idx="6">
                  <c:v>-30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640-C84C-9C98-3A5E09D6F1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79445488"/>
        <c:axId val="678999920"/>
      </c:lineChart>
      <c:catAx>
        <c:axId val="6794454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678999920"/>
        <c:crosses val="autoZero"/>
        <c:auto val="1"/>
        <c:lblAlgn val="ctr"/>
        <c:lblOffset val="100"/>
        <c:noMultiLvlLbl val="0"/>
      </c:catAx>
      <c:valAx>
        <c:axId val="6789999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67944548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'Lecture 3 New'!$B$172</c:f>
              <c:strCache>
                <c:ptCount val="1"/>
                <c:pt idx="0">
                  <c:v>CF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'Lecture 3 New'!$A$173:$A$182</c:f>
              <c:numCache>
                <c:formatCode>General</c:formatCode>
                <c:ptCount val="10"/>
                <c:pt idx="0">
                  <c:v>15</c:v>
                </c:pt>
                <c:pt idx="1">
                  <c:v>20</c:v>
                </c:pt>
                <c:pt idx="2">
                  <c:v>25</c:v>
                </c:pt>
                <c:pt idx="3">
                  <c:v>30</c:v>
                </c:pt>
                <c:pt idx="4">
                  <c:v>35</c:v>
                </c:pt>
                <c:pt idx="5">
                  <c:v>40</c:v>
                </c:pt>
                <c:pt idx="6">
                  <c:v>45</c:v>
                </c:pt>
                <c:pt idx="7">
                  <c:v>50</c:v>
                </c:pt>
                <c:pt idx="8">
                  <c:v>55</c:v>
                </c:pt>
                <c:pt idx="9">
                  <c:v>60</c:v>
                </c:pt>
              </c:numCache>
            </c:numRef>
          </c:cat>
          <c:val>
            <c:numRef>
              <c:f>'Lecture 3 New'!$B$173:$B$182</c:f>
              <c:numCache>
                <c:formatCode>General</c:formatCode>
                <c:ptCount val="1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-5</c:v>
                </c:pt>
                <c:pt idx="6">
                  <c:v>-10</c:v>
                </c:pt>
                <c:pt idx="7">
                  <c:v>-15</c:v>
                </c:pt>
                <c:pt idx="8">
                  <c:v>-20</c:v>
                </c:pt>
                <c:pt idx="9">
                  <c:v>-25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F4F-9847-B905-8002F545383A}"/>
            </c:ext>
          </c:extLst>
        </c:ser>
        <c:ser>
          <c:idx val="1"/>
          <c:order val="1"/>
          <c:tx>
            <c:strRef>
              <c:f>'Lecture 3 New'!$C$172</c:f>
              <c:strCache>
                <c:ptCount val="1"/>
                <c:pt idx="0">
                  <c:v>p&amp;l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'Lecture 3 New'!$A$173:$A$182</c:f>
              <c:numCache>
                <c:formatCode>General</c:formatCode>
                <c:ptCount val="10"/>
                <c:pt idx="0">
                  <c:v>15</c:v>
                </c:pt>
                <c:pt idx="1">
                  <c:v>20</c:v>
                </c:pt>
                <c:pt idx="2">
                  <c:v>25</c:v>
                </c:pt>
                <c:pt idx="3">
                  <c:v>30</c:v>
                </c:pt>
                <c:pt idx="4">
                  <c:v>35</c:v>
                </c:pt>
                <c:pt idx="5">
                  <c:v>40</c:v>
                </c:pt>
                <c:pt idx="6">
                  <c:v>45</c:v>
                </c:pt>
                <c:pt idx="7">
                  <c:v>50</c:v>
                </c:pt>
                <c:pt idx="8">
                  <c:v>55</c:v>
                </c:pt>
                <c:pt idx="9">
                  <c:v>60</c:v>
                </c:pt>
              </c:numCache>
            </c:numRef>
          </c:cat>
          <c:val>
            <c:numRef>
              <c:f>'Lecture 3 New'!$C$173:$C$182</c:f>
              <c:numCache>
                <c:formatCode>General</c:formatCode>
                <c:ptCount val="10"/>
                <c:pt idx="0">
                  <c:v>10</c:v>
                </c:pt>
                <c:pt idx="1">
                  <c:v>10</c:v>
                </c:pt>
                <c:pt idx="2">
                  <c:v>10</c:v>
                </c:pt>
                <c:pt idx="3">
                  <c:v>10</c:v>
                </c:pt>
                <c:pt idx="4">
                  <c:v>10</c:v>
                </c:pt>
                <c:pt idx="5">
                  <c:v>5</c:v>
                </c:pt>
                <c:pt idx="6">
                  <c:v>0</c:v>
                </c:pt>
                <c:pt idx="7">
                  <c:v>-5</c:v>
                </c:pt>
                <c:pt idx="8">
                  <c:v>-10</c:v>
                </c:pt>
                <c:pt idx="9">
                  <c:v>-15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F4F-9847-B905-8002F545383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54425199"/>
        <c:axId val="738506304"/>
      </c:lineChart>
      <c:catAx>
        <c:axId val="135442519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738506304"/>
        <c:crosses val="autoZero"/>
        <c:auto val="1"/>
        <c:lblAlgn val="ctr"/>
        <c:lblOffset val="100"/>
        <c:noMultiLvlLbl val="0"/>
      </c:catAx>
      <c:valAx>
        <c:axId val="7385063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35442519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long</a:t>
            </a:r>
            <a:r>
              <a:rPr lang="en-US" baseline="0"/>
              <a:t> put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'Lecture 3 New'!$B$191</c:f>
              <c:strCache>
                <c:ptCount val="1"/>
                <c:pt idx="0">
                  <c:v>CF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'Lecture 3 New'!$A$192:$A$200</c:f>
              <c:numCache>
                <c:formatCode>General</c:formatCode>
                <c:ptCount val="9"/>
                <c:pt idx="0">
                  <c:v>0</c:v>
                </c:pt>
                <c:pt idx="1">
                  <c:v>5</c:v>
                </c:pt>
                <c:pt idx="2">
                  <c:v>10</c:v>
                </c:pt>
                <c:pt idx="3">
                  <c:v>15</c:v>
                </c:pt>
                <c:pt idx="4">
                  <c:v>20</c:v>
                </c:pt>
                <c:pt idx="5">
                  <c:v>25</c:v>
                </c:pt>
                <c:pt idx="6">
                  <c:v>30</c:v>
                </c:pt>
                <c:pt idx="7">
                  <c:v>35</c:v>
                </c:pt>
                <c:pt idx="8">
                  <c:v>40</c:v>
                </c:pt>
              </c:numCache>
            </c:numRef>
          </c:cat>
          <c:val>
            <c:numRef>
              <c:f>'Lecture 3 New'!$B$192:$B$200</c:f>
              <c:numCache>
                <c:formatCode>General</c:formatCode>
                <c:ptCount val="9"/>
                <c:pt idx="0">
                  <c:v>20</c:v>
                </c:pt>
                <c:pt idx="1">
                  <c:v>15</c:v>
                </c:pt>
                <c:pt idx="2">
                  <c:v>10</c:v>
                </c:pt>
                <c:pt idx="3">
                  <c:v>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5B6-E045-94C5-160072966EF2}"/>
            </c:ext>
          </c:extLst>
        </c:ser>
        <c:ser>
          <c:idx val="1"/>
          <c:order val="1"/>
          <c:tx>
            <c:strRef>
              <c:f>'Lecture 3 New'!$C$191</c:f>
              <c:strCache>
                <c:ptCount val="1"/>
                <c:pt idx="0">
                  <c:v>p&amp;l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'Lecture 3 New'!$A$192:$A$200</c:f>
              <c:numCache>
                <c:formatCode>General</c:formatCode>
                <c:ptCount val="9"/>
                <c:pt idx="0">
                  <c:v>0</c:v>
                </c:pt>
                <c:pt idx="1">
                  <c:v>5</c:v>
                </c:pt>
                <c:pt idx="2">
                  <c:v>10</c:v>
                </c:pt>
                <c:pt idx="3">
                  <c:v>15</c:v>
                </c:pt>
                <c:pt idx="4">
                  <c:v>20</c:v>
                </c:pt>
                <c:pt idx="5">
                  <c:v>25</c:v>
                </c:pt>
                <c:pt idx="6">
                  <c:v>30</c:v>
                </c:pt>
                <c:pt idx="7">
                  <c:v>35</c:v>
                </c:pt>
                <c:pt idx="8">
                  <c:v>40</c:v>
                </c:pt>
              </c:numCache>
            </c:numRef>
          </c:cat>
          <c:val>
            <c:numRef>
              <c:f>'Lecture 3 New'!$C$192:$C$200</c:f>
              <c:numCache>
                <c:formatCode>General</c:formatCode>
                <c:ptCount val="9"/>
                <c:pt idx="0">
                  <c:v>12</c:v>
                </c:pt>
                <c:pt idx="1">
                  <c:v>7</c:v>
                </c:pt>
                <c:pt idx="2">
                  <c:v>2</c:v>
                </c:pt>
                <c:pt idx="3">
                  <c:v>-3</c:v>
                </c:pt>
                <c:pt idx="4">
                  <c:v>-8</c:v>
                </c:pt>
                <c:pt idx="5">
                  <c:v>-8</c:v>
                </c:pt>
                <c:pt idx="6">
                  <c:v>-8</c:v>
                </c:pt>
                <c:pt idx="7">
                  <c:v>-8</c:v>
                </c:pt>
                <c:pt idx="8">
                  <c:v>-8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5B6-E045-94C5-160072966EF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42709456"/>
        <c:axId val="1142805376"/>
      </c:lineChart>
      <c:catAx>
        <c:axId val="11427094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142805376"/>
        <c:crosses val="autoZero"/>
        <c:auto val="1"/>
        <c:lblAlgn val="ctr"/>
        <c:lblOffset val="100"/>
        <c:noMultiLvlLbl val="0"/>
      </c:catAx>
      <c:valAx>
        <c:axId val="11428053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14270945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'Lecture 1'!$B$241</c:f>
              <c:strCache>
                <c:ptCount val="1"/>
                <c:pt idx="0">
                  <c:v>cf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'Lecture 1'!$A$242:$A$253</c:f>
              <c:numCache>
                <c:formatCode>General</c:formatCode>
                <c:ptCount val="12"/>
                <c:pt idx="0">
                  <c:v>20</c:v>
                </c:pt>
                <c:pt idx="1">
                  <c:v>30</c:v>
                </c:pt>
                <c:pt idx="2">
                  <c:v>40</c:v>
                </c:pt>
                <c:pt idx="3">
                  <c:v>50</c:v>
                </c:pt>
                <c:pt idx="4">
                  <c:v>60</c:v>
                </c:pt>
                <c:pt idx="5">
                  <c:v>70</c:v>
                </c:pt>
                <c:pt idx="6">
                  <c:v>80</c:v>
                </c:pt>
                <c:pt idx="7">
                  <c:v>90</c:v>
                </c:pt>
                <c:pt idx="8">
                  <c:v>100</c:v>
                </c:pt>
                <c:pt idx="9">
                  <c:v>110</c:v>
                </c:pt>
                <c:pt idx="10">
                  <c:v>120</c:v>
                </c:pt>
                <c:pt idx="11">
                  <c:v>130</c:v>
                </c:pt>
              </c:numCache>
            </c:numRef>
          </c:cat>
          <c:val>
            <c:numRef>
              <c:f>'Lecture 1'!$B$242:$B$253</c:f>
              <c:numCache>
                <c:formatCode>General</c:formatCode>
                <c:ptCount val="12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10</c:v>
                </c:pt>
                <c:pt idx="6">
                  <c:v>20</c:v>
                </c:pt>
                <c:pt idx="7">
                  <c:v>30</c:v>
                </c:pt>
                <c:pt idx="8">
                  <c:v>40</c:v>
                </c:pt>
                <c:pt idx="9">
                  <c:v>50</c:v>
                </c:pt>
                <c:pt idx="10">
                  <c:v>60</c:v>
                </c:pt>
                <c:pt idx="11">
                  <c:v>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C3A-FD4E-9BC9-A69F21AEAD94}"/>
            </c:ext>
          </c:extLst>
        </c:ser>
        <c:ser>
          <c:idx val="1"/>
          <c:order val="1"/>
          <c:tx>
            <c:strRef>
              <c:f>'Lecture 1'!$C$241</c:f>
              <c:strCache>
                <c:ptCount val="1"/>
                <c:pt idx="0">
                  <c:v>p&amp;l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'Lecture 1'!$A$242:$A$253</c:f>
              <c:numCache>
                <c:formatCode>General</c:formatCode>
                <c:ptCount val="12"/>
                <c:pt idx="0">
                  <c:v>20</c:v>
                </c:pt>
                <c:pt idx="1">
                  <c:v>30</c:v>
                </c:pt>
                <c:pt idx="2">
                  <c:v>40</c:v>
                </c:pt>
                <c:pt idx="3">
                  <c:v>50</c:v>
                </c:pt>
                <c:pt idx="4">
                  <c:v>60</c:v>
                </c:pt>
                <c:pt idx="5">
                  <c:v>70</c:v>
                </c:pt>
                <c:pt idx="6">
                  <c:v>80</c:v>
                </c:pt>
                <c:pt idx="7">
                  <c:v>90</c:v>
                </c:pt>
                <c:pt idx="8">
                  <c:v>100</c:v>
                </c:pt>
                <c:pt idx="9">
                  <c:v>110</c:v>
                </c:pt>
                <c:pt idx="10">
                  <c:v>120</c:v>
                </c:pt>
                <c:pt idx="11">
                  <c:v>130</c:v>
                </c:pt>
              </c:numCache>
            </c:numRef>
          </c:cat>
          <c:val>
            <c:numRef>
              <c:f>'Lecture 1'!$C$242:$C$253</c:f>
              <c:numCache>
                <c:formatCode>General</c:formatCode>
                <c:ptCount val="12"/>
                <c:pt idx="0">
                  <c:v>-10</c:v>
                </c:pt>
                <c:pt idx="1">
                  <c:v>-10</c:v>
                </c:pt>
                <c:pt idx="2">
                  <c:v>-10</c:v>
                </c:pt>
                <c:pt idx="3">
                  <c:v>-10</c:v>
                </c:pt>
                <c:pt idx="4">
                  <c:v>-10</c:v>
                </c:pt>
                <c:pt idx="5">
                  <c:v>0</c:v>
                </c:pt>
                <c:pt idx="6">
                  <c:v>10</c:v>
                </c:pt>
                <c:pt idx="7">
                  <c:v>20</c:v>
                </c:pt>
                <c:pt idx="8">
                  <c:v>30</c:v>
                </c:pt>
                <c:pt idx="9">
                  <c:v>40</c:v>
                </c:pt>
                <c:pt idx="10">
                  <c:v>50</c:v>
                </c:pt>
                <c:pt idx="11">
                  <c:v>60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C3A-FD4E-9BC9-A69F21AEAD9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66579903"/>
        <c:axId val="1236548000"/>
      </c:lineChart>
      <c:catAx>
        <c:axId val="9665799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236548000"/>
        <c:crosses val="autoZero"/>
        <c:auto val="1"/>
        <c:lblAlgn val="ctr"/>
        <c:lblOffset val="100"/>
        <c:noMultiLvlLbl val="0"/>
      </c:catAx>
      <c:valAx>
        <c:axId val="123654800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665799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4"/>
          <c:order val="0"/>
          <c:tx>
            <c:strRef>
              <c:f>'Lecture 8 New'!$F$549:$F$550</c:f>
              <c:strCache>
                <c:ptCount val="2"/>
                <c:pt idx="1">
                  <c:v>Total P&amp;L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'Lecture 8 New'!$A$551:$A$564</c:f>
              <c:numCache>
                <c:formatCode>General</c:formatCode>
                <c:ptCount val="14"/>
                <c:pt idx="0">
                  <c:v>40</c:v>
                </c:pt>
                <c:pt idx="1">
                  <c:v>50</c:v>
                </c:pt>
                <c:pt idx="2">
                  <c:v>60</c:v>
                </c:pt>
                <c:pt idx="3">
                  <c:v>70</c:v>
                </c:pt>
                <c:pt idx="4">
                  <c:v>80</c:v>
                </c:pt>
                <c:pt idx="5">
                  <c:v>90</c:v>
                </c:pt>
                <c:pt idx="6">
                  <c:v>100</c:v>
                </c:pt>
                <c:pt idx="7">
                  <c:v>110</c:v>
                </c:pt>
                <c:pt idx="8">
                  <c:v>120</c:v>
                </c:pt>
                <c:pt idx="9">
                  <c:v>130</c:v>
                </c:pt>
                <c:pt idx="10">
                  <c:v>140</c:v>
                </c:pt>
                <c:pt idx="11">
                  <c:v>150</c:v>
                </c:pt>
                <c:pt idx="12">
                  <c:v>160</c:v>
                </c:pt>
              </c:numCache>
            </c:numRef>
          </c:cat>
          <c:val>
            <c:numRef>
              <c:f>'Lecture 8 New'!$F$551:$F$564</c:f>
              <c:numCache>
                <c:formatCode>General</c:formatCode>
                <c:ptCount val="14"/>
                <c:pt idx="0">
                  <c:v>-30</c:v>
                </c:pt>
                <c:pt idx="1">
                  <c:v>-30</c:v>
                </c:pt>
                <c:pt idx="2">
                  <c:v>-30</c:v>
                </c:pt>
                <c:pt idx="3">
                  <c:v>-30</c:v>
                </c:pt>
                <c:pt idx="4">
                  <c:v>-20</c:v>
                </c:pt>
                <c:pt idx="5">
                  <c:v>-10</c:v>
                </c:pt>
                <c:pt idx="6">
                  <c:v>0</c:v>
                </c:pt>
                <c:pt idx="7">
                  <c:v>10</c:v>
                </c:pt>
                <c:pt idx="8">
                  <c:v>20</c:v>
                </c:pt>
                <c:pt idx="9">
                  <c:v>20</c:v>
                </c:pt>
                <c:pt idx="10">
                  <c:v>20</c:v>
                </c:pt>
                <c:pt idx="11">
                  <c:v>20</c:v>
                </c:pt>
                <c:pt idx="12">
                  <c:v>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8FCF-D447-B9CA-2616F0E17EE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45220303"/>
        <c:axId val="1344582047"/>
        <c:extLst>
          <c:ext xmlns:c15="http://schemas.microsoft.com/office/drawing/2012/chart" uri="{02D57815-91ED-43cb-92C2-25804820EDAC}">
            <c15:filteredLineSeries>
              <c15:ser>
                <c:idx val="5"/>
                <c:order val="1"/>
                <c:tx>
                  <c:strRef>
                    <c:extLst>
                      <c:ext uri="{02D57815-91ED-43cb-92C2-25804820EDAC}">
                        <c15:formulaRef>
                          <c15:sqref>'Lecture 8 New'!$G$549:$G$550</c15:sqref>
                        </c15:formulaRef>
                      </c:ext>
                    </c:extLst>
                    <c:strCache>
                      <c:ptCount val="2"/>
                      <c:pt idx="1">
                        <c:v>Total P&amp;L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'Lecture 8 New'!$A$551:$A$564</c15:sqref>
                        </c15:formulaRef>
                      </c:ext>
                    </c:extLst>
                    <c:numCache>
                      <c:formatCode>General</c:formatCode>
                      <c:ptCount val="14"/>
                      <c:pt idx="0">
                        <c:v>40</c:v>
                      </c:pt>
                      <c:pt idx="1">
                        <c:v>50</c:v>
                      </c:pt>
                      <c:pt idx="2">
                        <c:v>60</c:v>
                      </c:pt>
                      <c:pt idx="3">
                        <c:v>70</c:v>
                      </c:pt>
                      <c:pt idx="4">
                        <c:v>80</c:v>
                      </c:pt>
                      <c:pt idx="5">
                        <c:v>90</c:v>
                      </c:pt>
                      <c:pt idx="6">
                        <c:v>100</c:v>
                      </c:pt>
                      <c:pt idx="7">
                        <c:v>110</c:v>
                      </c:pt>
                      <c:pt idx="8">
                        <c:v>120</c:v>
                      </c:pt>
                      <c:pt idx="9">
                        <c:v>130</c:v>
                      </c:pt>
                      <c:pt idx="10">
                        <c:v>140</c:v>
                      </c:pt>
                      <c:pt idx="11">
                        <c:v>150</c:v>
                      </c:pt>
                      <c:pt idx="12">
                        <c:v>160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'Lecture 8 New'!$G$551:$G$564</c15:sqref>
                        </c15:formulaRef>
                      </c:ext>
                    </c:extLst>
                    <c:numCache>
                      <c:formatCode>General</c:formatCode>
                      <c:ptCount val="14"/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5-8FCF-D447-B9CA-2616F0E17EE4}"/>
                  </c:ext>
                </c:extLst>
              </c15:ser>
            </c15:filteredLineSeries>
            <c15:filteredLineSeries>
              <c15:ser>
                <c:idx val="6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New'!$H$549:$H$550</c15:sqref>
                        </c15:formulaRef>
                      </c:ext>
                    </c:extLst>
                    <c:strCache>
                      <c:ptCount val="2"/>
                      <c:pt idx="1">
                        <c:v>Total P&amp;L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New'!$A$551:$A$564</c15:sqref>
                        </c15:formulaRef>
                      </c:ext>
                    </c:extLst>
                    <c:numCache>
                      <c:formatCode>General</c:formatCode>
                      <c:ptCount val="14"/>
                      <c:pt idx="0">
                        <c:v>40</c:v>
                      </c:pt>
                      <c:pt idx="1">
                        <c:v>50</c:v>
                      </c:pt>
                      <c:pt idx="2">
                        <c:v>60</c:v>
                      </c:pt>
                      <c:pt idx="3">
                        <c:v>70</c:v>
                      </c:pt>
                      <c:pt idx="4">
                        <c:v>80</c:v>
                      </c:pt>
                      <c:pt idx="5">
                        <c:v>90</c:v>
                      </c:pt>
                      <c:pt idx="6">
                        <c:v>100</c:v>
                      </c:pt>
                      <c:pt idx="7">
                        <c:v>110</c:v>
                      </c:pt>
                      <c:pt idx="8">
                        <c:v>120</c:v>
                      </c:pt>
                      <c:pt idx="9">
                        <c:v>130</c:v>
                      </c:pt>
                      <c:pt idx="10">
                        <c:v>140</c:v>
                      </c:pt>
                      <c:pt idx="11">
                        <c:v>150</c:v>
                      </c:pt>
                      <c:pt idx="12">
                        <c:v>160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New'!$H$551:$H$564</c15:sqref>
                        </c15:formulaRef>
                      </c:ext>
                    </c:extLst>
                    <c:numCache>
                      <c:formatCode>General</c:formatCode>
                      <c:ptCount val="14"/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8FCF-D447-B9CA-2616F0E17EE4}"/>
                  </c:ext>
                </c:extLst>
              </c15:ser>
            </c15:filteredLineSeries>
            <c15:filteredLineSeries>
              <c15:ser>
                <c:idx val="7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New'!$I$549:$I$550</c15:sqref>
                        </c15:formulaRef>
                      </c:ext>
                    </c:extLst>
                    <c:strCache>
                      <c:ptCount val="2"/>
                      <c:pt idx="1">
                        <c:v>Total P&amp;L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New'!$A$551:$A$564</c15:sqref>
                        </c15:formulaRef>
                      </c:ext>
                    </c:extLst>
                    <c:numCache>
                      <c:formatCode>General</c:formatCode>
                      <c:ptCount val="14"/>
                      <c:pt idx="0">
                        <c:v>40</c:v>
                      </c:pt>
                      <c:pt idx="1">
                        <c:v>50</c:v>
                      </c:pt>
                      <c:pt idx="2">
                        <c:v>60</c:v>
                      </c:pt>
                      <c:pt idx="3">
                        <c:v>70</c:v>
                      </c:pt>
                      <c:pt idx="4">
                        <c:v>80</c:v>
                      </c:pt>
                      <c:pt idx="5">
                        <c:v>90</c:v>
                      </c:pt>
                      <c:pt idx="6">
                        <c:v>100</c:v>
                      </c:pt>
                      <c:pt idx="7">
                        <c:v>110</c:v>
                      </c:pt>
                      <c:pt idx="8">
                        <c:v>120</c:v>
                      </c:pt>
                      <c:pt idx="9">
                        <c:v>130</c:v>
                      </c:pt>
                      <c:pt idx="10">
                        <c:v>140</c:v>
                      </c:pt>
                      <c:pt idx="11">
                        <c:v>150</c:v>
                      </c:pt>
                      <c:pt idx="12">
                        <c:v>160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New'!$I$551:$I$564</c15:sqref>
                        </c15:formulaRef>
                      </c:ext>
                    </c:extLst>
                    <c:numCache>
                      <c:formatCode>General</c:formatCode>
                      <c:ptCount val="14"/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8FCF-D447-B9CA-2616F0E17EE4}"/>
                  </c:ext>
                </c:extLst>
              </c15:ser>
            </c15:filteredLineSeries>
            <c15:filteredLineSeries>
              <c15:ser>
                <c:idx val="8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New'!$J$549:$J$550</c15:sqref>
                        </c15:formulaRef>
                      </c:ext>
                    </c:extLst>
                    <c:strCache>
                      <c:ptCount val="2"/>
                      <c:pt idx="1">
                        <c:v>Total P&amp;L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New'!$A$551:$A$564</c15:sqref>
                        </c15:formulaRef>
                      </c:ext>
                    </c:extLst>
                    <c:numCache>
                      <c:formatCode>General</c:formatCode>
                      <c:ptCount val="14"/>
                      <c:pt idx="0">
                        <c:v>40</c:v>
                      </c:pt>
                      <c:pt idx="1">
                        <c:v>50</c:v>
                      </c:pt>
                      <c:pt idx="2">
                        <c:v>60</c:v>
                      </c:pt>
                      <c:pt idx="3">
                        <c:v>70</c:v>
                      </c:pt>
                      <c:pt idx="4">
                        <c:v>80</c:v>
                      </c:pt>
                      <c:pt idx="5">
                        <c:v>90</c:v>
                      </c:pt>
                      <c:pt idx="6">
                        <c:v>100</c:v>
                      </c:pt>
                      <c:pt idx="7">
                        <c:v>110</c:v>
                      </c:pt>
                      <c:pt idx="8">
                        <c:v>120</c:v>
                      </c:pt>
                      <c:pt idx="9">
                        <c:v>130</c:v>
                      </c:pt>
                      <c:pt idx="10">
                        <c:v>140</c:v>
                      </c:pt>
                      <c:pt idx="11">
                        <c:v>150</c:v>
                      </c:pt>
                      <c:pt idx="12">
                        <c:v>160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New'!$J$551:$J$564</c15:sqref>
                        </c15:formulaRef>
                      </c:ext>
                    </c:extLst>
                    <c:numCache>
                      <c:formatCode>General</c:formatCode>
                      <c:ptCount val="14"/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8FCF-D447-B9CA-2616F0E17EE4}"/>
                  </c:ext>
                </c:extLst>
              </c15:ser>
            </c15:filteredLineSeries>
            <c15:filteredLineSeries>
              <c15:ser>
                <c:idx val="9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New'!$K$549:$K$550</c15:sqref>
                        </c15:formulaRef>
                      </c:ext>
                    </c:extLst>
                    <c:strCache>
                      <c:ptCount val="2"/>
                      <c:pt idx="1">
                        <c:v>Total P&amp;L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New'!$A$551:$A$564</c15:sqref>
                        </c15:formulaRef>
                      </c:ext>
                    </c:extLst>
                    <c:numCache>
                      <c:formatCode>General</c:formatCode>
                      <c:ptCount val="14"/>
                      <c:pt idx="0">
                        <c:v>40</c:v>
                      </c:pt>
                      <c:pt idx="1">
                        <c:v>50</c:v>
                      </c:pt>
                      <c:pt idx="2">
                        <c:v>60</c:v>
                      </c:pt>
                      <c:pt idx="3">
                        <c:v>70</c:v>
                      </c:pt>
                      <c:pt idx="4">
                        <c:v>80</c:v>
                      </c:pt>
                      <c:pt idx="5">
                        <c:v>90</c:v>
                      </c:pt>
                      <c:pt idx="6">
                        <c:v>100</c:v>
                      </c:pt>
                      <c:pt idx="7">
                        <c:v>110</c:v>
                      </c:pt>
                      <c:pt idx="8">
                        <c:v>120</c:v>
                      </c:pt>
                      <c:pt idx="9">
                        <c:v>130</c:v>
                      </c:pt>
                      <c:pt idx="10">
                        <c:v>140</c:v>
                      </c:pt>
                      <c:pt idx="11">
                        <c:v>150</c:v>
                      </c:pt>
                      <c:pt idx="12">
                        <c:v>160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New'!$K$551:$K$564</c15:sqref>
                        </c15:formulaRef>
                      </c:ext>
                    </c:extLst>
                    <c:numCache>
                      <c:formatCode>General</c:formatCode>
                      <c:ptCount val="14"/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9-8FCF-D447-B9CA-2616F0E17EE4}"/>
                  </c:ext>
                </c:extLst>
              </c15:ser>
            </c15:filteredLineSeries>
            <c15:filteredLineSeries>
              <c15:ser>
                <c:idx val="10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New'!$L$549:$L$550</c15:sqref>
                        </c15:formulaRef>
                      </c:ext>
                    </c:extLst>
                    <c:strCache>
                      <c:ptCount val="2"/>
                      <c:pt idx="1">
                        <c:v>Total P&amp;L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New'!$A$551:$A$564</c15:sqref>
                        </c15:formulaRef>
                      </c:ext>
                    </c:extLst>
                    <c:numCache>
                      <c:formatCode>General</c:formatCode>
                      <c:ptCount val="14"/>
                      <c:pt idx="0">
                        <c:v>40</c:v>
                      </c:pt>
                      <c:pt idx="1">
                        <c:v>50</c:v>
                      </c:pt>
                      <c:pt idx="2">
                        <c:v>60</c:v>
                      </c:pt>
                      <c:pt idx="3">
                        <c:v>70</c:v>
                      </c:pt>
                      <c:pt idx="4">
                        <c:v>80</c:v>
                      </c:pt>
                      <c:pt idx="5">
                        <c:v>90</c:v>
                      </c:pt>
                      <c:pt idx="6">
                        <c:v>100</c:v>
                      </c:pt>
                      <c:pt idx="7">
                        <c:v>110</c:v>
                      </c:pt>
                      <c:pt idx="8">
                        <c:v>120</c:v>
                      </c:pt>
                      <c:pt idx="9">
                        <c:v>130</c:v>
                      </c:pt>
                      <c:pt idx="10">
                        <c:v>140</c:v>
                      </c:pt>
                      <c:pt idx="11">
                        <c:v>150</c:v>
                      </c:pt>
                      <c:pt idx="12">
                        <c:v>160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New'!$L$551:$L$564</c15:sqref>
                        </c15:formulaRef>
                      </c:ext>
                    </c:extLst>
                    <c:numCache>
                      <c:formatCode>General</c:formatCode>
                      <c:ptCount val="14"/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A-8FCF-D447-B9CA-2616F0E17EE4}"/>
                  </c:ext>
                </c:extLst>
              </c15:ser>
            </c15:filteredLineSeries>
            <c15:filteredLineSeries>
              <c15:ser>
                <c:idx val="11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New'!$M$549:$M$550</c15:sqref>
                        </c15:formulaRef>
                      </c:ext>
                    </c:extLst>
                    <c:strCache>
                      <c:ptCount val="2"/>
                      <c:pt idx="1">
                        <c:v>Total P&amp;L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New'!$A$551:$A$564</c15:sqref>
                        </c15:formulaRef>
                      </c:ext>
                    </c:extLst>
                    <c:numCache>
                      <c:formatCode>General</c:formatCode>
                      <c:ptCount val="14"/>
                      <c:pt idx="0">
                        <c:v>40</c:v>
                      </c:pt>
                      <c:pt idx="1">
                        <c:v>50</c:v>
                      </c:pt>
                      <c:pt idx="2">
                        <c:v>60</c:v>
                      </c:pt>
                      <c:pt idx="3">
                        <c:v>70</c:v>
                      </c:pt>
                      <c:pt idx="4">
                        <c:v>80</c:v>
                      </c:pt>
                      <c:pt idx="5">
                        <c:v>90</c:v>
                      </c:pt>
                      <c:pt idx="6">
                        <c:v>100</c:v>
                      </c:pt>
                      <c:pt idx="7">
                        <c:v>110</c:v>
                      </c:pt>
                      <c:pt idx="8">
                        <c:v>120</c:v>
                      </c:pt>
                      <c:pt idx="9">
                        <c:v>130</c:v>
                      </c:pt>
                      <c:pt idx="10">
                        <c:v>140</c:v>
                      </c:pt>
                      <c:pt idx="11">
                        <c:v>150</c:v>
                      </c:pt>
                      <c:pt idx="12">
                        <c:v>160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New'!$M$551:$M$564</c15:sqref>
                        </c15:formulaRef>
                      </c:ext>
                    </c:extLst>
                    <c:numCache>
                      <c:formatCode>General</c:formatCode>
                      <c:ptCount val="14"/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B-8FCF-D447-B9CA-2616F0E17EE4}"/>
                  </c:ext>
                </c:extLst>
              </c15:ser>
            </c15:filteredLineSeries>
          </c:ext>
        </c:extLst>
      </c:lineChart>
      <c:catAx>
        <c:axId val="1345220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344582047"/>
        <c:crosses val="autoZero"/>
        <c:auto val="1"/>
        <c:lblAlgn val="ctr"/>
        <c:lblOffset val="100"/>
        <c:noMultiLvlLbl val="0"/>
      </c:catAx>
      <c:valAx>
        <c:axId val="134458204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345220303"/>
        <c:crosses val="autoZero"/>
        <c:crossBetween val="between"/>
      </c:valAx>
      <c:spPr>
        <a:noFill/>
        <a:ln w="25400"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4"/>
          <c:order val="0"/>
          <c:tx>
            <c:strRef>
              <c:f>'Lecture 8 New'!$F$597</c:f>
              <c:strCache>
                <c:ptCount val="1"/>
                <c:pt idx="0">
                  <c:v>Total P&amp;L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'Lecture 8 New'!$A$598:$A$611</c:f>
              <c:numCache>
                <c:formatCode>General</c:formatCode>
                <c:ptCount val="14"/>
                <c:pt idx="0">
                  <c:v>50</c:v>
                </c:pt>
                <c:pt idx="1">
                  <c:v>60</c:v>
                </c:pt>
                <c:pt idx="2">
                  <c:v>70</c:v>
                </c:pt>
                <c:pt idx="3">
                  <c:v>80</c:v>
                </c:pt>
                <c:pt idx="4">
                  <c:v>90</c:v>
                </c:pt>
                <c:pt idx="5">
                  <c:v>100</c:v>
                </c:pt>
                <c:pt idx="6">
                  <c:v>110</c:v>
                </c:pt>
                <c:pt idx="7">
                  <c:v>120</c:v>
                </c:pt>
                <c:pt idx="8">
                  <c:v>130</c:v>
                </c:pt>
                <c:pt idx="9">
                  <c:v>140</c:v>
                </c:pt>
                <c:pt idx="10">
                  <c:v>150</c:v>
                </c:pt>
                <c:pt idx="11">
                  <c:v>160</c:v>
                </c:pt>
                <c:pt idx="12">
                  <c:v>170</c:v>
                </c:pt>
                <c:pt idx="13">
                  <c:v>180</c:v>
                </c:pt>
              </c:numCache>
            </c:numRef>
          </c:cat>
          <c:val>
            <c:numRef>
              <c:f>'Lecture 8 New'!$F$598:$F$611</c:f>
              <c:numCache>
                <c:formatCode>General</c:formatCode>
                <c:ptCount val="14"/>
                <c:pt idx="0">
                  <c:v>-15</c:v>
                </c:pt>
                <c:pt idx="1">
                  <c:v>-15</c:v>
                </c:pt>
                <c:pt idx="2">
                  <c:v>-15</c:v>
                </c:pt>
                <c:pt idx="3">
                  <c:v>-5</c:v>
                </c:pt>
                <c:pt idx="4">
                  <c:v>5</c:v>
                </c:pt>
                <c:pt idx="5">
                  <c:v>15</c:v>
                </c:pt>
                <c:pt idx="6">
                  <c:v>25</c:v>
                </c:pt>
                <c:pt idx="7">
                  <c:v>35</c:v>
                </c:pt>
                <c:pt idx="8">
                  <c:v>35</c:v>
                </c:pt>
                <c:pt idx="9">
                  <c:v>35</c:v>
                </c:pt>
                <c:pt idx="10">
                  <c:v>35</c:v>
                </c:pt>
                <c:pt idx="11">
                  <c:v>35</c:v>
                </c:pt>
                <c:pt idx="12">
                  <c:v>35</c:v>
                </c:pt>
                <c:pt idx="13">
                  <c:v>35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5099-CC40-85FA-889D89F609A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25006784"/>
        <c:axId val="825017200"/>
      </c:lineChart>
      <c:catAx>
        <c:axId val="8250067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825017200"/>
        <c:crosses val="autoZero"/>
        <c:auto val="1"/>
        <c:lblAlgn val="ctr"/>
        <c:lblOffset val="100"/>
        <c:noMultiLvlLbl val="0"/>
      </c:catAx>
      <c:valAx>
        <c:axId val="82501720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82500678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title>
    <c:autoTitleDeleted val="0"/>
    <c:plotArea>
      <c:layout/>
      <c:lineChart>
        <c:grouping val="standard"/>
        <c:varyColors val="0"/>
        <c:ser>
          <c:idx val="4"/>
          <c:order val="0"/>
          <c:tx>
            <c:strRef>
              <c:f>'Lecture 8 New'!$F$314</c:f>
              <c:strCache>
                <c:ptCount val="1"/>
                <c:pt idx="0">
                  <c:v> Total P&amp;L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'Lecture 8 New'!$A$315:$A$325</c:f>
              <c:numCache>
                <c:formatCode>General</c:formatCode>
                <c:ptCount val="11"/>
                <c:pt idx="0">
                  <c:v>50</c:v>
                </c:pt>
                <c:pt idx="1">
                  <c:v>60</c:v>
                </c:pt>
                <c:pt idx="2">
                  <c:v>70</c:v>
                </c:pt>
                <c:pt idx="3">
                  <c:v>80</c:v>
                </c:pt>
                <c:pt idx="4">
                  <c:v>90</c:v>
                </c:pt>
                <c:pt idx="5">
                  <c:v>100</c:v>
                </c:pt>
                <c:pt idx="6">
                  <c:v>110</c:v>
                </c:pt>
                <c:pt idx="7">
                  <c:v>120</c:v>
                </c:pt>
                <c:pt idx="8">
                  <c:v>130</c:v>
                </c:pt>
                <c:pt idx="9">
                  <c:v>140</c:v>
                </c:pt>
                <c:pt idx="10">
                  <c:v>150</c:v>
                </c:pt>
              </c:numCache>
            </c:numRef>
          </c:cat>
          <c:val>
            <c:numRef>
              <c:f>'Lecture 8 New'!$F$315:$F$325</c:f>
              <c:numCache>
                <c:formatCode>General</c:formatCode>
                <c:ptCount val="11"/>
                <c:pt idx="0">
                  <c:v>-5</c:v>
                </c:pt>
                <c:pt idx="1">
                  <c:v>-5</c:v>
                </c:pt>
                <c:pt idx="2">
                  <c:v>-5</c:v>
                </c:pt>
                <c:pt idx="3">
                  <c:v>-5</c:v>
                </c:pt>
                <c:pt idx="4">
                  <c:v>5</c:v>
                </c:pt>
                <c:pt idx="5">
                  <c:v>15</c:v>
                </c:pt>
                <c:pt idx="6">
                  <c:v>5</c:v>
                </c:pt>
                <c:pt idx="7">
                  <c:v>-5</c:v>
                </c:pt>
                <c:pt idx="8">
                  <c:v>-5</c:v>
                </c:pt>
                <c:pt idx="9">
                  <c:v>-5</c:v>
                </c:pt>
                <c:pt idx="10">
                  <c:v>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0FE-6842-9FF5-8616AFE8FCE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42139296"/>
        <c:axId val="1142140944"/>
      </c:lineChart>
      <c:catAx>
        <c:axId val="11421392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142140944"/>
        <c:crosses val="autoZero"/>
        <c:auto val="1"/>
        <c:lblAlgn val="ctr"/>
        <c:lblOffset val="100"/>
        <c:noMultiLvlLbl val="0"/>
      </c:catAx>
      <c:valAx>
        <c:axId val="11421409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14213929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2.xml"/><Relationship Id="rId1" Type="http://schemas.openxmlformats.org/officeDocument/2006/relationships/chart" Target="../charts/chart11.xml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.png"/><Relationship Id="rId1" Type="http://schemas.openxmlformats.org/officeDocument/2006/relationships/image" Target="../media/image17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Relationship Id="rId4" Type="http://schemas.openxmlformats.org/officeDocument/2006/relationships/image" Target="../media/image22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jpe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chart" Target="../charts/chart8.xml"/><Relationship Id="rId7" Type="http://schemas.openxmlformats.org/officeDocument/2006/relationships/image" Target="../media/image12.png"/><Relationship Id="rId2" Type="http://schemas.openxmlformats.org/officeDocument/2006/relationships/chart" Target="../charts/chart7.xml"/><Relationship Id="rId1" Type="http://schemas.openxmlformats.org/officeDocument/2006/relationships/image" Target="../media/image10.png"/><Relationship Id="rId6" Type="http://schemas.openxmlformats.org/officeDocument/2006/relationships/image" Target="../media/image11.png"/><Relationship Id="rId5" Type="http://schemas.openxmlformats.org/officeDocument/2006/relationships/chart" Target="../charts/chart10.xml"/><Relationship Id="rId4" Type="http://schemas.openxmlformats.org/officeDocument/2006/relationships/chart" Target="../charts/chart9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101600</xdr:rowOff>
    </xdr:from>
    <xdr:to>
      <xdr:col>7</xdr:col>
      <xdr:colOff>774700</xdr:colOff>
      <xdr:row>27</xdr:row>
      <xdr:rowOff>2184</xdr:rowOff>
    </xdr:to>
    <xdr:pic>
      <xdr:nvPicPr>
        <xdr:cNvPr id="2" name="Picture 1" descr="Options are Power">
          <a:extLst>
            <a:ext uri="{FF2B5EF4-FFF2-40B4-BE49-F238E27FC236}">
              <a16:creationId xmlns:a16="http://schemas.microsoft.com/office/drawing/2014/main" id="{06B47FE4-A66B-4EA9-7C01-29A525E41E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8438800" y="1117600"/>
          <a:ext cx="6553200" cy="4370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589502</xdr:colOff>
      <xdr:row>5</xdr:row>
      <xdr:rowOff>0</xdr:rowOff>
    </xdr:from>
    <xdr:to>
      <xdr:col>2</xdr:col>
      <xdr:colOff>597415</xdr:colOff>
      <xdr:row>10</xdr:row>
      <xdr:rowOff>130561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9171F63B-4B39-55F2-7ECC-2A86382FF7B6}"/>
            </a:ext>
          </a:extLst>
        </xdr:cNvPr>
        <xdr:cNvCxnSpPr/>
      </xdr:nvCxnSpPr>
      <xdr:spPr>
        <a:xfrm flipH="1" flipV="1">
          <a:off x="13545428318" y="1008879"/>
          <a:ext cx="7913" cy="113943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356075</xdr:colOff>
      <xdr:row>9</xdr:row>
      <xdr:rowOff>83084</xdr:rowOff>
    </xdr:from>
    <xdr:to>
      <xdr:col>2</xdr:col>
      <xdr:colOff>735889</xdr:colOff>
      <xdr:row>9</xdr:row>
      <xdr:rowOff>83084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12AEF5BA-8054-4AE9-3ABA-83648B82478C}"/>
            </a:ext>
          </a:extLst>
        </xdr:cNvPr>
        <xdr:cNvCxnSpPr/>
      </xdr:nvCxnSpPr>
      <xdr:spPr>
        <a:xfrm>
          <a:off x="13545289844" y="1899065"/>
          <a:ext cx="2033583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636978</xdr:colOff>
      <xdr:row>6</xdr:row>
      <xdr:rowOff>3957</xdr:rowOff>
    </xdr:from>
    <xdr:to>
      <xdr:col>2</xdr:col>
      <xdr:colOff>526200</xdr:colOff>
      <xdr:row>10</xdr:row>
      <xdr:rowOff>134517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81A52E96-A359-7B72-6747-A81CA8C03C19}"/>
            </a:ext>
          </a:extLst>
        </xdr:cNvPr>
        <xdr:cNvCxnSpPr/>
      </xdr:nvCxnSpPr>
      <xdr:spPr>
        <a:xfrm>
          <a:off x="13545499533" y="1214611"/>
          <a:ext cx="716106" cy="93766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391683</xdr:colOff>
      <xdr:row>4</xdr:row>
      <xdr:rowOff>27695</xdr:rowOff>
    </xdr:from>
    <xdr:to>
      <xdr:col>1</xdr:col>
      <xdr:colOff>640935</xdr:colOff>
      <xdr:row>10</xdr:row>
      <xdr:rowOff>130561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3714D7EC-5C49-DD1B-E381-DC3D479FB0AB}"/>
            </a:ext>
          </a:extLst>
        </xdr:cNvPr>
        <xdr:cNvCxnSpPr/>
      </xdr:nvCxnSpPr>
      <xdr:spPr>
        <a:xfrm flipH="1">
          <a:off x="13546211682" y="834798"/>
          <a:ext cx="1076137" cy="131352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585546</xdr:colOff>
      <xdr:row>10</xdr:row>
      <xdr:rowOff>59346</xdr:rowOff>
    </xdr:from>
    <xdr:to>
      <xdr:col>1</xdr:col>
      <xdr:colOff>696325</xdr:colOff>
      <xdr:row>10</xdr:row>
      <xdr:rowOff>189907</xdr:rowOff>
    </xdr:to>
    <xdr:sp macro="" textlink="">
      <xdr:nvSpPr>
        <xdr:cNvPr id="18" name="Smiley Face 17">
          <a:extLst>
            <a:ext uri="{FF2B5EF4-FFF2-40B4-BE49-F238E27FC236}">
              <a16:creationId xmlns:a16="http://schemas.microsoft.com/office/drawing/2014/main" id="{D705F109-E3A7-BF31-75B6-0C0D5E7AC0BD}"/>
            </a:ext>
          </a:extLst>
        </xdr:cNvPr>
        <xdr:cNvSpPr/>
      </xdr:nvSpPr>
      <xdr:spPr>
        <a:xfrm>
          <a:off x="13546156292" y="2077103"/>
          <a:ext cx="110779" cy="130561"/>
        </a:xfrm>
        <a:prstGeom prst="smileyFac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735888</xdr:colOff>
      <xdr:row>4</xdr:row>
      <xdr:rowOff>193863</xdr:rowOff>
    </xdr:from>
    <xdr:to>
      <xdr:col>6</xdr:col>
      <xdr:colOff>743801</xdr:colOff>
      <xdr:row>10</xdr:row>
      <xdr:rowOff>122648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5411F8DE-CC76-0F43-9440-E1B04E94D2E7}"/>
            </a:ext>
          </a:extLst>
        </xdr:cNvPr>
        <xdr:cNvCxnSpPr/>
      </xdr:nvCxnSpPr>
      <xdr:spPr>
        <a:xfrm flipH="1" flipV="1">
          <a:off x="13541974393" y="1000966"/>
          <a:ext cx="7913" cy="113943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502461</xdr:colOff>
      <xdr:row>9</xdr:row>
      <xdr:rowOff>75171</xdr:rowOff>
    </xdr:from>
    <xdr:to>
      <xdr:col>7</xdr:col>
      <xdr:colOff>55390</xdr:colOff>
      <xdr:row>9</xdr:row>
      <xdr:rowOff>75171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A3DDF978-7DC8-B742-B1D8-25D8D3CA8F55}"/>
            </a:ext>
          </a:extLst>
        </xdr:cNvPr>
        <xdr:cNvCxnSpPr/>
      </xdr:nvCxnSpPr>
      <xdr:spPr>
        <a:xfrm>
          <a:off x="13541835919" y="1891152"/>
          <a:ext cx="2033583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518287</xdr:colOff>
      <xdr:row>4</xdr:row>
      <xdr:rowOff>158255</xdr:rowOff>
    </xdr:from>
    <xdr:to>
      <xdr:col>6</xdr:col>
      <xdr:colOff>652804</xdr:colOff>
      <xdr:row>11</xdr:row>
      <xdr:rowOff>59345</xdr:rowOff>
    </xdr:to>
    <xdr:grpSp>
      <xdr:nvGrpSpPr>
        <xdr:cNvPr id="37" name="Group 36">
          <a:extLst>
            <a:ext uri="{FF2B5EF4-FFF2-40B4-BE49-F238E27FC236}">
              <a16:creationId xmlns:a16="http://schemas.microsoft.com/office/drawing/2014/main" id="{85F9E0FA-FF99-9909-D196-7E70E24A0854}"/>
            </a:ext>
          </a:extLst>
        </xdr:cNvPr>
        <xdr:cNvGrpSpPr/>
      </xdr:nvGrpSpPr>
      <xdr:grpSpPr>
        <a:xfrm>
          <a:off x="13539778411" y="975039"/>
          <a:ext cx="1788008" cy="1330463"/>
          <a:chOff x="13550901439" y="966437"/>
          <a:chExt cx="1789365" cy="1315408"/>
        </a:xfrm>
      </xdr:grpSpPr>
      <xdr:cxnSp macro="">
        <xdr:nvCxnSpPr>
          <xdr:cNvPr id="21" name="Straight Connector 20">
            <a:extLst>
              <a:ext uri="{FF2B5EF4-FFF2-40B4-BE49-F238E27FC236}">
                <a16:creationId xmlns:a16="http://schemas.microsoft.com/office/drawing/2014/main" id="{6C529084-306F-A298-63FC-08DD31FD1839}"/>
              </a:ext>
            </a:extLst>
          </xdr:cNvPr>
          <xdr:cNvCxnSpPr/>
        </xdr:nvCxnSpPr>
        <xdr:spPr>
          <a:xfrm>
            <a:off x="13550901439" y="1370529"/>
            <a:ext cx="451028" cy="907360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" name="Straight Connector 21">
            <a:extLst>
              <a:ext uri="{FF2B5EF4-FFF2-40B4-BE49-F238E27FC236}">
                <a16:creationId xmlns:a16="http://schemas.microsoft.com/office/drawing/2014/main" id="{212DC1A7-DFF1-8A41-19B6-4D5F2558382C}"/>
              </a:ext>
            </a:extLst>
          </xdr:cNvPr>
          <xdr:cNvCxnSpPr/>
        </xdr:nvCxnSpPr>
        <xdr:spPr>
          <a:xfrm flipH="1">
            <a:off x="13552033505" y="966437"/>
            <a:ext cx="657299" cy="1315408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7" name="Straight Connector 26">
            <a:extLst>
              <a:ext uri="{FF2B5EF4-FFF2-40B4-BE49-F238E27FC236}">
                <a16:creationId xmlns:a16="http://schemas.microsoft.com/office/drawing/2014/main" id="{890F4AB0-6028-B26A-0819-AF30C0A1CBAF}"/>
              </a:ext>
            </a:extLst>
          </xdr:cNvPr>
          <xdr:cNvCxnSpPr/>
        </xdr:nvCxnSpPr>
        <xdr:spPr>
          <a:xfrm>
            <a:off x="13551340597" y="2266021"/>
            <a:ext cx="700821" cy="7912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</xdr:grpSp>
    <xdr:clientData/>
  </xdr:twoCellAnchor>
  <xdr:twoCellAnchor>
    <xdr:from>
      <xdr:col>5</xdr:col>
      <xdr:colOff>648848</xdr:colOff>
      <xdr:row>10</xdr:row>
      <xdr:rowOff>174080</xdr:rowOff>
    </xdr:from>
    <xdr:to>
      <xdr:col>5</xdr:col>
      <xdr:colOff>759627</xdr:colOff>
      <xdr:row>11</xdr:row>
      <xdr:rowOff>102865</xdr:rowOff>
    </xdr:to>
    <xdr:sp macro="" textlink="">
      <xdr:nvSpPr>
        <xdr:cNvPr id="30" name="Smiley Face 29">
          <a:extLst>
            <a:ext uri="{FF2B5EF4-FFF2-40B4-BE49-F238E27FC236}">
              <a16:creationId xmlns:a16="http://schemas.microsoft.com/office/drawing/2014/main" id="{8EBEA336-8709-034A-A2FB-938D26DF3B02}"/>
            </a:ext>
          </a:extLst>
        </xdr:cNvPr>
        <xdr:cNvSpPr/>
      </xdr:nvSpPr>
      <xdr:spPr>
        <a:xfrm>
          <a:off x="13542785451" y="2191837"/>
          <a:ext cx="110779" cy="130561"/>
        </a:xfrm>
        <a:prstGeom prst="smileyFac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589502</xdr:colOff>
      <xdr:row>25</xdr:row>
      <xdr:rowOff>0</xdr:rowOff>
    </xdr:from>
    <xdr:to>
      <xdr:col>2</xdr:col>
      <xdr:colOff>597415</xdr:colOff>
      <xdr:row>30</xdr:row>
      <xdr:rowOff>130561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A8B6EA85-7675-AD4E-9AF6-DC43494585B6}"/>
            </a:ext>
          </a:extLst>
        </xdr:cNvPr>
        <xdr:cNvCxnSpPr/>
      </xdr:nvCxnSpPr>
      <xdr:spPr>
        <a:xfrm flipH="1" flipV="1">
          <a:off x="13545428318" y="1008879"/>
          <a:ext cx="7913" cy="113943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356075</xdr:colOff>
      <xdr:row>29</xdr:row>
      <xdr:rowOff>83084</xdr:rowOff>
    </xdr:from>
    <xdr:to>
      <xdr:col>2</xdr:col>
      <xdr:colOff>735889</xdr:colOff>
      <xdr:row>29</xdr:row>
      <xdr:rowOff>83084</xdr:rowOff>
    </xdr:to>
    <xdr:cxnSp macro="">
      <xdr:nvCxnSpPr>
        <xdr:cNvPr id="32" name="Straight Arrow Connector 31">
          <a:extLst>
            <a:ext uri="{FF2B5EF4-FFF2-40B4-BE49-F238E27FC236}">
              <a16:creationId xmlns:a16="http://schemas.microsoft.com/office/drawing/2014/main" id="{A0CD0250-2D4B-7245-A3AC-EB6AF32A8973}"/>
            </a:ext>
          </a:extLst>
        </xdr:cNvPr>
        <xdr:cNvCxnSpPr/>
      </xdr:nvCxnSpPr>
      <xdr:spPr>
        <a:xfrm>
          <a:off x="13545289844" y="1899065"/>
          <a:ext cx="2033583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400908</xdr:colOff>
      <xdr:row>26</xdr:row>
      <xdr:rowOff>154671</xdr:rowOff>
    </xdr:from>
    <xdr:to>
      <xdr:col>2</xdr:col>
      <xdr:colOff>360177</xdr:colOff>
      <xdr:row>32</xdr:row>
      <xdr:rowOff>127013</xdr:rowOff>
    </xdr:to>
    <xdr:grpSp>
      <xdr:nvGrpSpPr>
        <xdr:cNvPr id="36" name="Group 35">
          <a:extLst>
            <a:ext uri="{FF2B5EF4-FFF2-40B4-BE49-F238E27FC236}">
              <a16:creationId xmlns:a16="http://schemas.microsoft.com/office/drawing/2014/main" id="{BEC9D01C-4907-87FF-D119-A66FBFC47C39}"/>
            </a:ext>
          </a:extLst>
        </xdr:cNvPr>
        <xdr:cNvGrpSpPr/>
      </xdr:nvGrpSpPr>
      <xdr:grpSpPr>
        <a:xfrm rot="10979691">
          <a:off x="13543378019" y="5463769"/>
          <a:ext cx="1612759" cy="1197519"/>
          <a:chOff x="13554337740" y="4472695"/>
          <a:chExt cx="1789365" cy="1319095"/>
        </a:xfrm>
      </xdr:grpSpPr>
      <xdr:cxnSp macro="">
        <xdr:nvCxnSpPr>
          <xdr:cNvPr id="33" name="Straight Connector 32">
            <a:extLst>
              <a:ext uri="{FF2B5EF4-FFF2-40B4-BE49-F238E27FC236}">
                <a16:creationId xmlns:a16="http://schemas.microsoft.com/office/drawing/2014/main" id="{6A14C64D-90BC-F74B-8E7C-51455055B2E3}"/>
              </a:ext>
            </a:extLst>
          </xdr:cNvPr>
          <xdr:cNvCxnSpPr/>
        </xdr:nvCxnSpPr>
        <xdr:spPr>
          <a:xfrm>
            <a:off x="13554337740" y="4853048"/>
            <a:ext cx="716646" cy="938742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34" name="Straight Connector 33">
            <a:extLst>
              <a:ext uri="{FF2B5EF4-FFF2-40B4-BE49-F238E27FC236}">
                <a16:creationId xmlns:a16="http://schemas.microsoft.com/office/drawing/2014/main" id="{A94F2CAD-1AF7-7B49-A7A7-459FA7DADB63}"/>
              </a:ext>
            </a:extLst>
          </xdr:cNvPr>
          <xdr:cNvCxnSpPr/>
        </xdr:nvCxnSpPr>
        <xdr:spPr>
          <a:xfrm flipH="1">
            <a:off x="13555050429" y="4472695"/>
            <a:ext cx="1076676" cy="1315139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</xdr:grpSp>
    <xdr:clientData/>
  </xdr:twoCellAnchor>
  <xdr:twoCellAnchor>
    <xdr:from>
      <xdr:col>1</xdr:col>
      <xdr:colOff>128538</xdr:colOff>
      <xdr:row>26</xdr:row>
      <xdr:rowOff>59346</xdr:rowOff>
    </xdr:from>
    <xdr:to>
      <xdr:col>1</xdr:col>
      <xdr:colOff>239317</xdr:colOff>
      <xdr:row>26</xdr:row>
      <xdr:rowOff>189907</xdr:rowOff>
    </xdr:to>
    <xdr:sp macro="" textlink="">
      <xdr:nvSpPr>
        <xdr:cNvPr id="35" name="Smiley Face 34">
          <a:extLst>
            <a:ext uri="{FF2B5EF4-FFF2-40B4-BE49-F238E27FC236}">
              <a16:creationId xmlns:a16="http://schemas.microsoft.com/office/drawing/2014/main" id="{ECF23FEA-9522-E34F-BF67-2F65F8BA3048}"/>
            </a:ext>
          </a:extLst>
        </xdr:cNvPr>
        <xdr:cNvSpPr/>
      </xdr:nvSpPr>
      <xdr:spPr>
        <a:xfrm>
          <a:off x="13555452047" y="5312528"/>
          <a:ext cx="110779" cy="130561"/>
        </a:xfrm>
        <a:prstGeom prst="smileyFac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827424</xdr:colOff>
      <xdr:row>24</xdr:row>
      <xdr:rowOff>202045</xdr:rowOff>
    </xdr:from>
    <xdr:to>
      <xdr:col>7</xdr:col>
      <xdr:colOff>134516</xdr:colOff>
      <xdr:row>31</xdr:row>
      <xdr:rowOff>103135</xdr:rowOff>
    </xdr:to>
    <xdr:grpSp>
      <xdr:nvGrpSpPr>
        <xdr:cNvPr id="38" name="Group 37">
          <a:extLst>
            <a:ext uri="{FF2B5EF4-FFF2-40B4-BE49-F238E27FC236}">
              <a16:creationId xmlns:a16="http://schemas.microsoft.com/office/drawing/2014/main" id="{56F621A1-A2EB-6147-A4D1-D518A984BB27}"/>
            </a:ext>
          </a:extLst>
        </xdr:cNvPr>
        <xdr:cNvGrpSpPr/>
      </xdr:nvGrpSpPr>
      <xdr:grpSpPr>
        <a:xfrm rot="10800000">
          <a:off x="13539469954" y="5102751"/>
          <a:ext cx="1787328" cy="1330462"/>
          <a:chOff x="13550901439" y="966437"/>
          <a:chExt cx="1789365" cy="1315408"/>
        </a:xfrm>
      </xdr:grpSpPr>
      <xdr:cxnSp macro="">
        <xdr:nvCxnSpPr>
          <xdr:cNvPr id="39" name="Straight Connector 38">
            <a:extLst>
              <a:ext uri="{FF2B5EF4-FFF2-40B4-BE49-F238E27FC236}">
                <a16:creationId xmlns:a16="http://schemas.microsoft.com/office/drawing/2014/main" id="{CE00B739-2881-615F-59DD-E63DF011D95E}"/>
              </a:ext>
            </a:extLst>
          </xdr:cNvPr>
          <xdr:cNvCxnSpPr/>
        </xdr:nvCxnSpPr>
        <xdr:spPr>
          <a:xfrm>
            <a:off x="13550901439" y="1370529"/>
            <a:ext cx="451028" cy="907360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0" name="Straight Connector 39">
            <a:extLst>
              <a:ext uri="{FF2B5EF4-FFF2-40B4-BE49-F238E27FC236}">
                <a16:creationId xmlns:a16="http://schemas.microsoft.com/office/drawing/2014/main" id="{D4CA289A-B332-165C-F560-1B54D57DA4F6}"/>
              </a:ext>
            </a:extLst>
          </xdr:cNvPr>
          <xdr:cNvCxnSpPr/>
        </xdr:nvCxnSpPr>
        <xdr:spPr>
          <a:xfrm flipH="1">
            <a:off x="13552033505" y="966437"/>
            <a:ext cx="657299" cy="1315408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1" name="Straight Connector 40">
            <a:extLst>
              <a:ext uri="{FF2B5EF4-FFF2-40B4-BE49-F238E27FC236}">
                <a16:creationId xmlns:a16="http://schemas.microsoft.com/office/drawing/2014/main" id="{F8FCE4EF-9BBA-08C2-9026-F8EEC1D2B373}"/>
              </a:ext>
            </a:extLst>
          </xdr:cNvPr>
          <xdr:cNvCxnSpPr/>
        </xdr:nvCxnSpPr>
        <xdr:spPr>
          <a:xfrm>
            <a:off x="13551340597" y="2266021"/>
            <a:ext cx="700821" cy="7912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</xdr:grpSp>
    <xdr:clientData/>
  </xdr:twoCellAnchor>
  <xdr:twoCellAnchor>
    <xdr:from>
      <xdr:col>7</xdr:col>
      <xdr:colOff>143671</xdr:colOff>
      <xdr:row>24</xdr:row>
      <xdr:rowOff>104568</xdr:rowOff>
    </xdr:from>
    <xdr:to>
      <xdr:col>7</xdr:col>
      <xdr:colOff>151584</xdr:colOff>
      <xdr:row>30</xdr:row>
      <xdr:rowOff>33353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7DE450F1-D4E4-6D47-8443-2EF0D804141B}"/>
            </a:ext>
          </a:extLst>
        </xdr:cNvPr>
        <xdr:cNvCxnSpPr/>
      </xdr:nvCxnSpPr>
      <xdr:spPr>
        <a:xfrm flipH="1" flipV="1">
          <a:off x="13546428745" y="5017463"/>
          <a:ext cx="7913" cy="115700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716781</xdr:colOff>
      <xdr:row>27</xdr:row>
      <xdr:rowOff>179566</xdr:rowOff>
    </xdr:from>
    <xdr:to>
      <xdr:col>7</xdr:col>
      <xdr:colOff>269710</xdr:colOff>
      <xdr:row>27</xdr:row>
      <xdr:rowOff>179566</xdr:rowOff>
    </xdr:to>
    <xdr:cxnSp macro="">
      <xdr:nvCxnSpPr>
        <xdr:cNvPr id="43" name="Straight Arrow Connector 42">
          <a:extLst>
            <a:ext uri="{FF2B5EF4-FFF2-40B4-BE49-F238E27FC236}">
              <a16:creationId xmlns:a16="http://schemas.microsoft.com/office/drawing/2014/main" id="{EC871C0D-061E-7742-AAFB-FA7179152FCC}"/>
            </a:ext>
          </a:extLst>
        </xdr:cNvPr>
        <xdr:cNvCxnSpPr/>
      </xdr:nvCxnSpPr>
      <xdr:spPr>
        <a:xfrm>
          <a:off x="13550457108" y="5634793"/>
          <a:ext cx="2035202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744296</xdr:colOff>
      <xdr:row>24</xdr:row>
      <xdr:rowOff>141126</xdr:rowOff>
    </xdr:from>
    <xdr:to>
      <xdr:col>6</xdr:col>
      <xdr:colOff>27651</xdr:colOff>
      <xdr:row>25</xdr:row>
      <xdr:rowOff>69642</xdr:rowOff>
    </xdr:to>
    <xdr:sp macro="" textlink="">
      <xdr:nvSpPr>
        <xdr:cNvPr id="44" name="Smiley Face 43">
          <a:extLst>
            <a:ext uri="{FF2B5EF4-FFF2-40B4-BE49-F238E27FC236}">
              <a16:creationId xmlns:a16="http://schemas.microsoft.com/office/drawing/2014/main" id="{534AC7BC-998E-2CD2-48B8-92B49D3A3493}"/>
            </a:ext>
          </a:extLst>
        </xdr:cNvPr>
        <xdr:cNvSpPr/>
      </xdr:nvSpPr>
      <xdr:spPr>
        <a:xfrm>
          <a:off x="13551526592" y="4990217"/>
          <a:ext cx="110779" cy="130561"/>
        </a:xfrm>
        <a:prstGeom prst="smileyFac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10</xdr:col>
      <xdr:colOff>464530</xdr:colOff>
      <xdr:row>80</xdr:row>
      <xdr:rowOff>21309</xdr:rowOff>
    </xdr:from>
    <xdr:to>
      <xdr:col>10</xdr:col>
      <xdr:colOff>490100</xdr:colOff>
      <xdr:row>91</xdr:row>
      <xdr:rowOff>110806</xdr:rowOff>
    </xdr:to>
    <xdr:cxnSp macro="">
      <xdr:nvCxnSpPr>
        <xdr:cNvPr id="46" name="Straight Arrow Connector 45">
          <a:extLst>
            <a:ext uri="{FF2B5EF4-FFF2-40B4-BE49-F238E27FC236}">
              <a16:creationId xmlns:a16="http://schemas.microsoft.com/office/drawing/2014/main" id="{31FDBE12-AC65-2A6D-E8B1-A26196687C89}"/>
            </a:ext>
          </a:extLst>
        </xdr:cNvPr>
        <xdr:cNvCxnSpPr/>
      </xdr:nvCxnSpPr>
      <xdr:spPr>
        <a:xfrm flipV="1">
          <a:off x="13537181444" y="16411980"/>
          <a:ext cx="25570" cy="233969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93758</xdr:colOff>
      <xdr:row>86</xdr:row>
      <xdr:rowOff>119328</xdr:rowOff>
    </xdr:from>
    <xdr:to>
      <xdr:col>10</xdr:col>
      <xdr:colOff>813993</xdr:colOff>
      <xdr:row>86</xdr:row>
      <xdr:rowOff>123590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A25FB392-AAA9-0F77-12F8-A1AEFFD503A7}"/>
            </a:ext>
          </a:extLst>
        </xdr:cNvPr>
        <xdr:cNvCxnSpPr/>
      </xdr:nvCxnSpPr>
      <xdr:spPr>
        <a:xfrm flipV="1">
          <a:off x="13536857551" y="17737382"/>
          <a:ext cx="3200570" cy="426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10</xdr:col>
      <xdr:colOff>306846</xdr:colOff>
      <xdr:row>89</xdr:row>
      <xdr:rowOff>24377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71A26C84-7B3E-A270-0AF6-EB2CFBBB4626}"/>
                </a:ext>
              </a:extLst>
            </xdr:cNvPr>
            <xdr:cNvSpPr txBox="1"/>
          </xdr:nvSpPr>
          <xdr:spPr>
            <a:xfrm>
              <a:off x="13525164500" y="18256018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71A26C84-7B3E-A270-0AF6-EB2CFBBB4626}"/>
                </a:ext>
              </a:extLst>
            </xdr:cNvPr>
            <xdr:cNvSpPr txBox="1"/>
          </xdr:nvSpPr>
          <xdr:spPr>
            <a:xfrm>
              <a:off x="13525164500" y="18256018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242920</xdr:colOff>
      <xdr:row>81</xdr:row>
      <xdr:rowOff>118137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6B2B4260-1381-E293-8DA6-202C16DC514F}"/>
                </a:ext>
              </a:extLst>
            </xdr:cNvPr>
            <xdr:cNvSpPr txBox="1"/>
          </xdr:nvSpPr>
          <xdr:spPr>
            <a:xfrm>
              <a:off x="13536681976" y="16713372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6B2B4260-1381-E293-8DA6-202C16DC514F}"/>
                </a:ext>
              </a:extLst>
            </xdr:cNvPr>
            <xdr:cNvSpPr txBox="1"/>
          </xdr:nvSpPr>
          <xdr:spPr>
            <a:xfrm>
              <a:off x="13536681976" y="16713372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255704</xdr:colOff>
      <xdr:row>82</xdr:row>
      <xdr:rowOff>12785</xdr:rowOff>
    </xdr:from>
    <xdr:to>
      <xdr:col>10</xdr:col>
      <xdr:colOff>490101</xdr:colOff>
      <xdr:row>89</xdr:row>
      <xdr:rowOff>127852</xdr:rowOff>
    </xdr:to>
    <xdr:grpSp>
      <xdr:nvGrpSpPr>
        <xdr:cNvPr id="75" name="Group 74">
          <a:extLst>
            <a:ext uri="{FF2B5EF4-FFF2-40B4-BE49-F238E27FC236}">
              <a16:creationId xmlns:a16="http://schemas.microsoft.com/office/drawing/2014/main" id="{9B5A799F-161B-E740-D4EB-D3398F03CC54}"/>
            </a:ext>
          </a:extLst>
        </xdr:cNvPr>
        <xdr:cNvGrpSpPr/>
      </xdr:nvGrpSpPr>
      <xdr:grpSpPr>
        <a:xfrm>
          <a:off x="13536634134" y="16776785"/>
          <a:ext cx="2714632" cy="1544440"/>
          <a:chOff x="13537181443" y="16812584"/>
          <a:chExt cx="2714732" cy="1547013"/>
        </a:xfrm>
      </xdr:grpSpPr>
      <xdr:cxnSp macro="">
        <xdr:nvCxnSpPr>
          <xdr:cNvPr id="52" name="Straight Connector 51">
            <a:extLst>
              <a:ext uri="{FF2B5EF4-FFF2-40B4-BE49-F238E27FC236}">
                <a16:creationId xmlns:a16="http://schemas.microsoft.com/office/drawing/2014/main" id="{E819C6B8-6AA7-47A3-268D-5F1894428F25}"/>
              </a:ext>
            </a:extLst>
          </xdr:cNvPr>
          <xdr:cNvCxnSpPr/>
        </xdr:nvCxnSpPr>
        <xdr:spPr>
          <a:xfrm>
            <a:off x="13537181443" y="18346812"/>
            <a:ext cx="609429" cy="0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4" name="Straight Connector 53">
            <a:extLst>
              <a:ext uri="{FF2B5EF4-FFF2-40B4-BE49-F238E27FC236}">
                <a16:creationId xmlns:a16="http://schemas.microsoft.com/office/drawing/2014/main" id="{FB867F6E-DB82-3207-0BE9-469188A4FB70}"/>
              </a:ext>
            </a:extLst>
          </xdr:cNvPr>
          <xdr:cNvCxnSpPr/>
        </xdr:nvCxnSpPr>
        <xdr:spPr>
          <a:xfrm flipV="1">
            <a:off x="13537795134" y="16812584"/>
            <a:ext cx="698926" cy="1547013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8" name="Straight Connector 57">
            <a:extLst>
              <a:ext uri="{FF2B5EF4-FFF2-40B4-BE49-F238E27FC236}">
                <a16:creationId xmlns:a16="http://schemas.microsoft.com/office/drawing/2014/main" id="{AE5CE8DB-CBF6-EAF5-B854-16C32CD3C789}"/>
              </a:ext>
            </a:extLst>
          </xdr:cNvPr>
          <xdr:cNvCxnSpPr/>
        </xdr:nvCxnSpPr>
        <xdr:spPr>
          <a:xfrm flipH="1" flipV="1">
            <a:off x="13538494060" y="16821107"/>
            <a:ext cx="609430" cy="1529967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1" name="Straight Connector 60">
            <a:extLst>
              <a:ext uri="{FF2B5EF4-FFF2-40B4-BE49-F238E27FC236}">
                <a16:creationId xmlns:a16="http://schemas.microsoft.com/office/drawing/2014/main" id="{9C2F8A25-3A56-DB8A-EE74-1A6BBD0EA31A}"/>
              </a:ext>
            </a:extLst>
          </xdr:cNvPr>
          <xdr:cNvCxnSpPr/>
        </xdr:nvCxnSpPr>
        <xdr:spPr>
          <a:xfrm>
            <a:off x="13539107752" y="18351074"/>
            <a:ext cx="788423" cy="4262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</xdr:grpSp>
    <xdr:clientData/>
  </xdr:twoCellAnchor>
  <xdr:twoCellAnchor>
    <xdr:from>
      <xdr:col>8</xdr:col>
      <xdr:colOff>737282</xdr:colOff>
      <xdr:row>81</xdr:row>
      <xdr:rowOff>127852</xdr:rowOff>
    </xdr:from>
    <xdr:to>
      <xdr:col>9</xdr:col>
      <xdr:colOff>98020</xdr:colOff>
      <xdr:row>82</xdr:row>
      <xdr:rowOff>115067</xdr:rowOff>
    </xdr:to>
    <xdr:sp macro="" textlink="">
      <xdr:nvSpPr>
        <xdr:cNvPr id="62" name="Smiley Face 61">
          <a:extLst>
            <a:ext uri="{FF2B5EF4-FFF2-40B4-BE49-F238E27FC236}">
              <a16:creationId xmlns:a16="http://schemas.microsoft.com/office/drawing/2014/main" id="{2B296246-0C0B-89D0-26C9-0DCA14186446}"/>
            </a:ext>
          </a:extLst>
        </xdr:cNvPr>
        <xdr:cNvSpPr/>
      </xdr:nvSpPr>
      <xdr:spPr>
        <a:xfrm>
          <a:off x="13538400302" y="16723087"/>
          <a:ext cx="187517" cy="191779"/>
        </a:xfrm>
        <a:prstGeom prst="smileyFac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8</xdr:col>
      <xdr:colOff>443222</xdr:colOff>
      <xdr:row>86</xdr:row>
      <xdr:rowOff>147970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EBC67FBA-B6A1-9E97-2367-4A3B8459F731}"/>
                </a:ext>
              </a:extLst>
            </xdr:cNvPr>
            <xdr:cNvSpPr txBox="1"/>
          </xdr:nvSpPr>
          <xdr:spPr>
            <a:xfrm>
              <a:off x="13538135231" y="17766024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EBC67FBA-B6A1-9E97-2367-4A3B8459F731}"/>
                </a:ext>
              </a:extLst>
            </xdr:cNvPr>
            <xdr:cNvSpPr txBox="1"/>
          </xdr:nvSpPr>
          <xdr:spPr>
            <a:xfrm>
              <a:off x="13538135231" y="17766024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315369</xdr:colOff>
      <xdr:row>85</xdr:row>
      <xdr:rowOff>160755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10D2F2F3-CED3-7FD0-8997-C0E80BB7FDD8}"/>
                </a:ext>
              </a:extLst>
            </xdr:cNvPr>
            <xdr:cNvSpPr txBox="1"/>
          </xdr:nvSpPr>
          <xdr:spPr>
            <a:xfrm>
              <a:off x="13537436305" y="17574245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10D2F2F3-CED3-7FD0-8997-C0E80BB7FDD8}"/>
                </a:ext>
              </a:extLst>
            </xdr:cNvPr>
            <xdr:cNvSpPr txBox="1"/>
          </xdr:nvSpPr>
          <xdr:spPr>
            <a:xfrm>
              <a:off x="13537436305" y="17574245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688693</xdr:colOff>
      <xdr:row>86</xdr:row>
      <xdr:rowOff>128289</xdr:rowOff>
    </xdr:from>
    <xdr:to>
      <xdr:col>9</xdr:col>
      <xdr:colOff>703188</xdr:colOff>
      <xdr:row>89</xdr:row>
      <xdr:rowOff>110805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D840C39D-AA88-4545-9A28-2184398107E1}"/>
            </a:ext>
          </a:extLst>
        </xdr:cNvPr>
        <xdr:cNvCxnSpPr>
          <a:stCxn id="64" idx="2"/>
        </xdr:cNvCxnSpPr>
      </xdr:nvCxnSpPr>
      <xdr:spPr>
        <a:xfrm flipH="1">
          <a:off x="13537795134" y="17746343"/>
          <a:ext cx="14495" cy="596207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639262</xdr:colOff>
      <xdr:row>85</xdr:row>
      <xdr:rowOff>143708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DF676CDF-8B56-FD97-B951-8F2E421CCFE4}"/>
                </a:ext>
              </a:extLst>
            </xdr:cNvPr>
            <xdr:cNvSpPr txBox="1"/>
          </xdr:nvSpPr>
          <xdr:spPr>
            <a:xfrm>
              <a:off x="13538765969" y="17557198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DF676CDF-8B56-FD97-B951-8F2E421CCFE4}"/>
                </a:ext>
              </a:extLst>
            </xdr:cNvPr>
            <xdr:cNvSpPr txBox="1"/>
          </xdr:nvSpPr>
          <xdr:spPr>
            <a:xfrm>
              <a:off x="13538765969" y="17557198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198593</xdr:colOff>
      <xdr:row>86</xdr:row>
      <xdr:rowOff>124027</xdr:rowOff>
    </xdr:from>
    <xdr:to>
      <xdr:col>8</xdr:col>
      <xdr:colOff>213088</xdr:colOff>
      <xdr:row>89</xdr:row>
      <xdr:rowOff>106543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43519029-6EB9-EC29-FDD4-51C07227C511}"/>
            </a:ext>
          </a:extLst>
        </xdr:cNvPr>
        <xdr:cNvCxnSpPr/>
      </xdr:nvCxnSpPr>
      <xdr:spPr>
        <a:xfrm flipH="1">
          <a:off x="13539112013" y="17742081"/>
          <a:ext cx="14495" cy="596207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0</xdr:colOff>
      <xdr:row>86</xdr:row>
      <xdr:rowOff>126661</xdr:rowOff>
    </xdr:from>
    <xdr:ext cx="746648" cy="1095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36660A99-C458-40A7-E954-19A1333B0D05}"/>
                </a:ext>
              </a:extLst>
            </xdr:cNvPr>
            <xdr:cNvSpPr txBox="1"/>
          </xdr:nvSpPr>
          <xdr:spPr>
            <a:xfrm>
              <a:off x="13537751674" y="17744715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7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34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36660A99-C458-40A7-E954-19A1333B0D05}"/>
                </a:ext>
              </a:extLst>
            </xdr:cNvPr>
            <xdr:cNvSpPr txBox="1"/>
          </xdr:nvSpPr>
          <xdr:spPr>
            <a:xfrm>
              <a:off x="13537751674" y="17744715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7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34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6814</xdr:colOff>
      <xdr:row>83</xdr:row>
      <xdr:rowOff>437</xdr:rowOff>
    </xdr:from>
    <xdr:to>
      <xdr:col>9</xdr:col>
      <xdr:colOff>12785</xdr:colOff>
      <xdr:row>86</xdr:row>
      <xdr:rowOff>181420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29AFA508-0130-42DC-2265-A43DEA092128}"/>
            </a:ext>
          </a:extLst>
        </xdr:cNvPr>
        <xdr:cNvCxnSpPr/>
      </xdr:nvCxnSpPr>
      <xdr:spPr>
        <a:xfrm flipH="1">
          <a:off x="13538485537" y="17004799"/>
          <a:ext cx="5971" cy="794675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153424</xdr:colOff>
      <xdr:row>86</xdr:row>
      <xdr:rowOff>130923</xdr:rowOff>
    </xdr:from>
    <xdr:ext cx="746648" cy="1095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091C90FB-75D1-86CC-3414-CAC26255DF21}"/>
                </a:ext>
              </a:extLst>
            </xdr:cNvPr>
            <xdr:cNvSpPr txBox="1"/>
          </xdr:nvSpPr>
          <xdr:spPr>
            <a:xfrm>
              <a:off x="13538425029" y="17748977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7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46</m:t>
                    </m:r>
                  </m:oMath>
                </m:oMathPara>
              </a14:m>
              <a:endParaRPr lang="en-US" sz="700"/>
            </a:p>
          </xdr:txBody>
        </xdr:sp>
      </mc:Choice>
      <mc:Fallback xmlns="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091C90FB-75D1-86CC-3414-CAC26255DF21}"/>
                </a:ext>
              </a:extLst>
            </xdr:cNvPr>
            <xdr:cNvSpPr txBox="1"/>
          </xdr:nvSpPr>
          <xdr:spPr>
            <a:xfrm>
              <a:off x="13538425029" y="17748977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7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46</a:t>
              </a:r>
              <a:endParaRPr lang="en-US" sz="700"/>
            </a:p>
          </xdr:txBody>
        </xdr:sp>
      </mc:Fallback>
    </mc:AlternateContent>
    <xdr:clientData/>
  </xdr:oneCellAnchor>
  <xdr:twoCellAnchor>
    <xdr:from>
      <xdr:col>11</xdr:col>
      <xdr:colOff>464530</xdr:colOff>
      <xdr:row>106</xdr:row>
      <xdr:rowOff>21309</xdr:rowOff>
    </xdr:from>
    <xdr:to>
      <xdr:col>11</xdr:col>
      <xdr:colOff>490100</xdr:colOff>
      <xdr:row>117</xdr:row>
      <xdr:rowOff>110806</xdr:rowOff>
    </xdr:to>
    <xdr:cxnSp macro="">
      <xdr:nvCxnSpPr>
        <xdr:cNvPr id="76" name="Straight Arrow Connector 75">
          <a:extLst>
            <a:ext uri="{FF2B5EF4-FFF2-40B4-BE49-F238E27FC236}">
              <a16:creationId xmlns:a16="http://schemas.microsoft.com/office/drawing/2014/main" id="{FC3835D6-15E8-5343-8AEA-DC580C010DC0}"/>
            </a:ext>
          </a:extLst>
        </xdr:cNvPr>
        <xdr:cNvCxnSpPr/>
      </xdr:nvCxnSpPr>
      <xdr:spPr>
        <a:xfrm flipV="1">
          <a:off x="13532750853" y="16180547"/>
          <a:ext cx="25570" cy="230695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93758</xdr:colOff>
      <xdr:row>112</xdr:row>
      <xdr:rowOff>119328</xdr:rowOff>
    </xdr:from>
    <xdr:to>
      <xdr:col>11</xdr:col>
      <xdr:colOff>813993</xdr:colOff>
      <xdr:row>112</xdr:row>
      <xdr:rowOff>123590</xdr:rowOff>
    </xdr:to>
    <xdr:cxnSp macro="">
      <xdr:nvCxnSpPr>
        <xdr:cNvPr id="77" name="Straight Arrow Connector 76">
          <a:extLst>
            <a:ext uri="{FF2B5EF4-FFF2-40B4-BE49-F238E27FC236}">
              <a16:creationId xmlns:a16="http://schemas.microsoft.com/office/drawing/2014/main" id="{27EC1E6B-0BB6-6244-8C5E-19729A373AB1}"/>
            </a:ext>
          </a:extLst>
        </xdr:cNvPr>
        <xdr:cNvCxnSpPr/>
      </xdr:nvCxnSpPr>
      <xdr:spPr>
        <a:xfrm flipV="1">
          <a:off x="13532426960" y="17488090"/>
          <a:ext cx="3199758" cy="426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306846</xdr:colOff>
      <xdr:row>115</xdr:row>
      <xdr:rowOff>24377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F0901E7C-5503-3D4A-8AF8-FE8028E7ADFA}"/>
                </a:ext>
              </a:extLst>
            </xdr:cNvPr>
            <xdr:cNvSpPr txBox="1"/>
          </xdr:nvSpPr>
          <xdr:spPr>
            <a:xfrm>
              <a:off x="13532187459" y="17997901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F0901E7C-5503-3D4A-8AF8-FE8028E7ADFA}"/>
                </a:ext>
              </a:extLst>
            </xdr:cNvPr>
            <xdr:cNvSpPr txBox="1"/>
          </xdr:nvSpPr>
          <xdr:spPr>
            <a:xfrm>
              <a:off x="13532187459" y="17997901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242920</xdr:colOff>
      <xdr:row>107</xdr:row>
      <xdr:rowOff>118137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0E7B0217-08C5-6E4E-B72D-0E452C618ACF}"/>
                </a:ext>
              </a:extLst>
            </xdr:cNvPr>
            <xdr:cNvSpPr txBox="1"/>
          </xdr:nvSpPr>
          <xdr:spPr>
            <a:xfrm>
              <a:off x="13532251385" y="16478962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7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0E7B0217-08C5-6E4E-B72D-0E452C618ACF}"/>
                </a:ext>
              </a:extLst>
            </xdr:cNvPr>
            <xdr:cNvSpPr txBox="1"/>
          </xdr:nvSpPr>
          <xdr:spPr>
            <a:xfrm>
              <a:off x="13532251385" y="16478962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7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255704</xdr:colOff>
      <xdr:row>108</xdr:row>
      <xdr:rowOff>12785</xdr:rowOff>
    </xdr:from>
    <xdr:to>
      <xdr:col>11</xdr:col>
      <xdr:colOff>490101</xdr:colOff>
      <xdr:row>115</xdr:row>
      <xdr:rowOff>127852</xdr:rowOff>
    </xdr:to>
    <xdr:grpSp>
      <xdr:nvGrpSpPr>
        <xdr:cNvPr id="80" name="Group 79">
          <a:extLst>
            <a:ext uri="{FF2B5EF4-FFF2-40B4-BE49-F238E27FC236}">
              <a16:creationId xmlns:a16="http://schemas.microsoft.com/office/drawing/2014/main" id="{408062CF-176A-B741-9F14-30E3F41258AD}"/>
            </a:ext>
          </a:extLst>
        </xdr:cNvPr>
        <xdr:cNvGrpSpPr/>
      </xdr:nvGrpSpPr>
      <xdr:grpSpPr>
        <a:xfrm>
          <a:off x="13535807389" y="22085883"/>
          <a:ext cx="2714632" cy="1544440"/>
          <a:chOff x="13537181443" y="16812584"/>
          <a:chExt cx="2714732" cy="1547013"/>
        </a:xfrm>
      </xdr:grpSpPr>
      <xdr:cxnSp macro="">
        <xdr:nvCxnSpPr>
          <xdr:cNvPr id="81" name="Straight Connector 80">
            <a:extLst>
              <a:ext uri="{FF2B5EF4-FFF2-40B4-BE49-F238E27FC236}">
                <a16:creationId xmlns:a16="http://schemas.microsoft.com/office/drawing/2014/main" id="{D509BA60-6229-ED1F-8BA6-DC242D2CD0F5}"/>
              </a:ext>
            </a:extLst>
          </xdr:cNvPr>
          <xdr:cNvCxnSpPr/>
        </xdr:nvCxnSpPr>
        <xdr:spPr>
          <a:xfrm>
            <a:off x="13537181443" y="18346812"/>
            <a:ext cx="609429" cy="0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82" name="Straight Connector 81">
            <a:extLst>
              <a:ext uri="{FF2B5EF4-FFF2-40B4-BE49-F238E27FC236}">
                <a16:creationId xmlns:a16="http://schemas.microsoft.com/office/drawing/2014/main" id="{B89B9564-D836-B309-5C30-7DAE564A44A2}"/>
              </a:ext>
            </a:extLst>
          </xdr:cNvPr>
          <xdr:cNvCxnSpPr/>
        </xdr:nvCxnSpPr>
        <xdr:spPr>
          <a:xfrm flipV="1">
            <a:off x="13537795134" y="16812584"/>
            <a:ext cx="698926" cy="1547013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83" name="Straight Connector 82">
            <a:extLst>
              <a:ext uri="{FF2B5EF4-FFF2-40B4-BE49-F238E27FC236}">
                <a16:creationId xmlns:a16="http://schemas.microsoft.com/office/drawing/2014/main" id="{40DDB69E-837A-453F-D219-244E7D155CF6}"/>
              </a:ext>
            </a:extLst>
          </xdr:cNvPr>
          <xdr:cNvCxnSpPr/>
        </xdr:nvCxnSpPr>
        <xdr:spPr>
          <a:xfrm flipH="1" flipV="1">
            <a:off x="13538494060" y="16821107"/>
            <a:ext cx="609430" cy="1529967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84" name="Straight Connector 83">
            <a:extLst>
              <a:ext uri="{FF2B5EF4-FFF2-40B4-BE49-F238E27FC236}">
                <a16:creationId xmlns:a16="http://schemas.microsoft.com/office/drawing/2014/main" id="{DEB3DDD1-7140-8FB8-10C6-F37429E01346}"/>
              </a:ext>
            </a:extLst>
          </xdr:cNvPr>
          <xdr:cNvCxnSpPr/>
        </xdr:nvCxnSpPr>
        <xdr:spPr>
          <a:xfrm>
            <a:off x="13539107752" y="18351074"/>
            <a:ext cx="788423" cy="4262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</xdr:grpSp>
    <xdr:clientData/>
  </xdr:twoCellAnchor>
  <xdr:twoCellAnchor>
    <xdr:from>
      <xdr:col>9</xdr:col>
      <xdr:colOff>737282</xdr:colOff>
      <xdr:row>107</xdr:row>
      <xdr:rowOff>127852</xdr:rowOff>
    </xdr:from>
    <xdr:to>
      <xdr:col>10</xdr:col>
      <xdr:colOff>98020</xdr:colOff>
      <xdr:row>108</xdr:row>
      <xdr:rowOff>115067</xdr:rowOff>
    </xdr:to>
    <xdr:sp macro="" textlink="">
      <xdr:nvSpPr>
        <xdr:cNvPr id="85" name="Smiley Face 84">
          <a:extLst>
            <a:ext uri="{FF2B5EF4-FFF2-40B4-BE49-F238E27FC236}">
              <a16:creationId xmlns:a16="http://schemas.microsoft.com/office/drawing/2014/main" id="{B87E1ABE-FEF9-8642-9E3A-5611FC4C54A2}"/>
            </a:ext>
          </a:extLst>
        </xdr:cNvPr>
        <xdr:cNvSpPr/>
      </xdr:nvSpPr>
      <xdr:spPr>
        <a:xfrm>
          <a:off x="13533969441" y="16488677"/>
          <a:ext cx="187246" cy="188803"/>
        </a:xfrm>
        <a:prstGeom prst="smileyFac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9</xdr:col>
      <xdr:colOff>443222</xdr:colOff>
      <xdr:row>112</xdr:row>
      <xdr:rowOff>147970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CA9546FB-7B9F-3941-A01C-82B8853A8570}"/>
                </a:ext>
              </a:extLst>
            </xdr:cNvPr>
            <xdr:cNvSpPr txBox="1"/>
          </xdr:nvSpPr>
          <xdr:spPr>
            <a:xfrm>
              <a:off x="13533704099" y="17516732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CA9546FB-7B9F-3941-A01C-82B8853A8570}"/>
                </a:ext>
              </a:extLst>
            </xdr:cNvPr>
            <xdr:cNvSpPr txBox="1"/>
          </xdr:nvSpPr>
          <xdr:spPr>
            <a:xfrm>
              <a:off x="13533704099" y="17516732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315369</xdr:colOff>
      <xdr:row>111</xdr:row>
      <xdr:rowOff>160755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ACAB3239-3595-AC43-8213-785B2393C8E4}"/>
                </a:ext>
              </a:extLst>
            </xdr:cNvPr>
            <xdr:cNvSpPr txBox="1"/>
          </xdr:nvSpPr>
          <xdr:spPr>
            <a:xfrm>
              <a:off x="13533005444" y="17327930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ACAB3239-3595-AC43-8213-785B2393C8E4}"/>
                </a:ext>
              </a:extLst>
            </xdr:cNvPr>
            <xdr:cNvSpPr txBox="1"/>
          </xdr:nvSpPr>
          <xdr:spPr>
            <a:xfrm>
              <a:off x="13533005444" y="17327930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688693</xdr:colOff>
      <xdr:row>112</xdr:row>
      <xdr:rowOff>128289</xdr:rowOff>
    </xdr:from>
    <xdr:to>
      <xdr:col>10</xdr:col>
      <xdr:colOff>703188</xdr:colOff>
      <xdr:row>115</xdr:row>
      <xdr:rowOff>110805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12213844-77E3-E942-933C-8A1A902D40C0}"/>
            </a:ext>
          </a:extLst>
        </xdr:cNvPr>
        <xdr:cNvCxnSpPr>
          <a:stCxn id="87" idx="2"/>
        </xdr:cNvCxnSpPr>
      </xdr:nvCxnSpPr>
      <xdr:spPr>
        <a:xfrm flipH="1">
          <a:off x="13533364273" y="17497051"/>
          <a:ext cx="14495" cy="587278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639262</xdr:colOff>
      <xdr:row>111</xdr:row>
      <xdr:rowOff>143708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169A7DCE-020D-8248-ADBB-284FE349CC0C}"/>
                </a:ext>
              </a:extLst>
            </xdr:cNvPr>
            <xdr:cNvSpPr txBox="1"/>
          </xdr:nvSpPr>
          <xdr:spPr>
            <a:xfrm>
              <a:off x="13534334566" y="17310883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169A7DCE-020D-8248-ADBB-284FE349CC0C}"/>
                </a:ext>
              </a:extLst>
            </xdr:cNvPr>
            <xdr:cNvSpPr txBox="1"/>
          </xdr:nvSpPr>
          <xdr:spPr>
            <a:xfrm>
              <a:off x="13534334566" y="17310883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198593</xdr:colOff>
      <xdr:row>112</xdr:row>
      <xdr:rowOff>124027</xdr:rowOff>
    </xdr:from>
    <xdr:to>
      <xdr:col>9</xdr:col>
      <xdr:colOff>213088</xdr:colOff>
      <xdr:row>115</xdr:row>
      <xdr:rowOff>106543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2FE1F9D5-435F-A84A-B4F7-ED21A5FC0EFD}"/>
            </a:ext>
          </a:extLst>
        </xdr:cNvPr>
        <xdr:cNvCxnSpPr/>
      </xdr:nvCxnSpPr>
      <xdr:spPr>
        <a:xfrm flipH="1">
          <a:off x="13534680881" y="17492789"/>
          <a:ext cx="14495" cy="587278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10</xdr:col>
      <xdr:colOff>0</xdr:colOff>
      <xdr:row>112</xdr:row>
      <xdr:rowOff>126661</xdr:rowOff>
    </xdr:from>
    <xdr:ext cx="746648" cy="1095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7275F301-074B-0647-B5C6-2FE14AA0B831}"/>
                </a:ext>
              </a:extLst>
            </xdr:cNvPr>
            <xdr:cNvSpPr txBox="1"/>
          </xdr:nvSpPr>
          <xdr:spPr>
            <a:xfrm>
              <a:off x="13533320813" y="17495423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7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43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7275F301-074B-0647-B5C6-2FE14AA0B831}"/>
                </a:ext>
              </a:extLst>
            </xdr:cNvPr>
            <xdr:cNvSpPr txBox="1"/>
          </xdr:nvSpPr>
          <xdr:spPr>
            <a:xfrm>
              <a:off x="13533320813" y="17495423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7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6814</xdr:colOff>
      <xdr:row>109</xdr:row>
      <xdr:rowOff>437</xdr:rowOff>
    </xdr:from>
    <xdr:to>
      <xdr:col>10</xdr:col>
      <xdr:colOff>12785</xdr:colOff>
      <xdr:row>112</xdr:row>
      <xdr:rowOff>181420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0F09B9D4-410D-6B44-A990-FAFB0D0B325B}"/>
            </a:ext>
          </a:extLst>
        </xdr:cNvPr>
        <xdr:cNvCxnSpPr/>
      </xdr:nvCxnSpPr>
      <xdr:spPr>
        <a:xfrm flipH="1">
          <a:off x="13534054676" y="16764437"/>
          <a:ext cx="5971" cy="785745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153424</xdr:colOff>
      <xdr:row>112</xdr:row>
      <xdr:rowOff>130923</xdr:rowOff>
    </xdr:from>
    <xdr:ext cx="746648" cy="1095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BC2F59BF-B232-2B43-B630-7A8127B26483}"/>
                </a:ext>
              </a:extLst>
            </xdr:cNvPr>
            <xdr:cNvSpPr txBox="1"/>
          </xdr:nvSpPr>
          <xdr:spPr>
            <a:xfrm>
              <a:off x="13533993897" y="17499685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7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57</m:t>
                    </m:r>
                  </m:oMath>
                </m:oMathPara>
              </a14:m>
              <a:endParaRPr lang="en-US" sz="7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BC2F59BF-B232-2B43-B630-7A8127B26483}"/>
                </a:ext>
              </a:extLst>
            </xdr:cNvPr>
            <xdr:cNvSpPr txBox="1"/>
          </xdr:nvSpPr>
          <xdr:spPr>
            <a:xfrm>
              <a:off x="13533993897" y="17499685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7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57</a:t>
              </a:r>
              <a:endParaRPr lang="en-US" sz="700"/>
            </a:p>
          </xdr:txBody>
        </xdr:sp>
      </mc:Fallback>
    </mc:AlternateContent>
    <xdr:clientData/>
  </xdr:oneCellAnchor>
  <xdr:twoCellAnchor>
    <xdr:from>
      <xdr:col>6</xdr:col>
      <xdr:colOff>540307</xdr:colOff>
      <xdr:row>191</xdr:row>
      <xdr:rowOff>128114</xdr:rowOff>
    </xdr:from>
    <xdr:to>
      <xdr:col>6</xdr:col>
      <xdr:colOff>545877</xdr:colOff>
      <xdr:row>206</xdr:row>
      <xdr:rowOff>122543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77F90B56-C176-AD39-65AC-ED04D7D3F47F}"/>
            </a:ext>
          </a:extLst>
        </xdr:cNvPr>
        <xdr:cNvCxnSpPr/>
      </xdr:nvCxnSpPr>
      <xdr:spPr>
        <a:xfrm flipH="1" flipV="1">
          <a:off x="13501247456" y="36256272"/>
          <a:ext cx="5570" cy="300232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222807</xdr:colOff>
      <xdr:row>202</xdr:row>
      <xdr:rowOff>116974</xdr:rowOff>
    </xdr:from>
    <xdr:to>
      <xdr:col>7</xdr:col>
      <xdr:colOff>434473</xdr:colOff>
      <xdr:row>202</xdr:row>
      <xdr:rowOff>133685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6ECACE4E-B02B-56B1-5B46-DF59A5380EA3}"/>
            </a:ext>
          </a:extLst>
        </xdr:cNvPr>
        <xdr:cNvCxnSpPr/>
      </xdr:nvCxnSpPr>
      <xdr:spPr>
        <a:xfrm>
          <a:off x="13500534474" y="38450921"/>
          <a:ext cx="4333596" cy="1671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89123</xdr:colOff>
      <xdr:row>205</xdr:row>
      <xdr:rowOff>33421</xdr:rowOff>
    </xdr:from>
    <xdr:to>
      <xdr:col>6</xdr:col>
      <xdr:colOff>545877</xdr:colOff>
      <xdr:row>205</xdr:row>
      <xdr:rowOff>50132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7F1EF44F-03C0-8F76-3D4E-6F6786A076F7}"/>
            </a:ext>
          </a:extLst>
        </xdr:cNvPr>
        <xdr:cNvCxnSpPr/>
      </xdr:nvCxnSpPr>
      <xdr:spPr>
        <a:xfrm flipV="1">
          <a:off x="13501247456" y="38968947"/>
          <a:ext cx="1281140" cy="1671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334210</xdr:colOff>
      <xdr:row>196</xdr:row>
      <xdr:rowOff>72413</xdr:rowOff>
    </xdr:from>
    <xdr:to>
      <xdr:col>5</xdr:col>
      <xdr:colOff>105833</xdr:colOff>
      <xdr:row>205</xdr:row>
      <xdr:rowOff>55702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CA29BC41-F851-E716-8114-EDB8DAB7D288}"/>
            </a:ext>
          </a:extLst>
        </xdr:cNvPr>
        <xdr:cNvCxnSpPr/>
      </xdr:nvCxnSpPr>
      <xdr:spPr>
        <a:xfrm flipV="1">
          <a:off x="13502511886" y="37203202"/>
          <a:ext cx="596009" cy="178802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623859</xdr:colOff>
      <xdr:row>196</xdr:row>
      <xdr:rowOff>77983</xdr:rowOff>
    </xdr:from>
    <xdr:to>
      <xdr:col>4</xdr:col>
      <xdr:colOff>339781</xdr:colOff>
      <xdr:row>205</xdr:row>
      <xdr:rowOff>66842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AD3136C5-F321-1FD3-B77C-2776ED8F6C89}"/>
            </a:ext>
          </a:extLst>
        </xdr:cNvPr>
        <xdr:cNvCxnSpPr/>
      </xdr:nvCxnSpPr>
      <xdr:spPr>
        <a:xfrm>
          <a:off x="13503102324" y="37208772"/>
          <a:ext cx="540308" cy="179359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172675</xdr:colOff>
      <xdr:row>205</xdr:row>
      <xdr:rowOff>33421</xdr:rowOff>
    </xdr:from>
    <xdr:to>
      <xdr:col>3</xdr:col>
      <xdr:colOff>629429</xdr:colOff>
      <xdr:row>205</xdr:row>
      <xdr:rowOff>50132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3D278802-43F0-A5D1-A291-50F0C7FD9514}"/>
            </a:ext>
          </a:extLst>
        </xdr:cNvPr>
        <xdr:cNvCxnSpPr/>
      </xdr:nvCxnSpPr>
      <xdr:spPr>
        <a:xfrm flipV="1">
          <a:off x="13503637062" y="38968947"/>
          <a:ext cx="1281140" cy="1671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557017</xdr:colOff>
      <xdr:row>204</xdr:row>
      <xdr:rowOff>166659</xdr:rowOff>
    </xdr:from>
    <xdr:ext cx="3572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15FACA8E-E75F-A41B-D865-DF1698968B00}"/>
                </a:ext>
              </a:extLst>
            </xdr:cNvPr>
            <xdr:cNvSpPr txBox="1"/>
          </xdr:nvSpPr>
          <xdr:spPr>
            <a:xfrm>
              <a:off x="13500879038" y="38901659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15FACA8E-E75F-A41B-D865-DF1698968B00}"/>
                </a:ext>
              </a:extLst>
            </xdr:cNvPr>
            <xdr:cNvSpPr txBox="1"/>
          </xdr:nvSpPr>
          <xdr:spPr>
            <a:xfrm>
              <a:off x="13500879038" y="38901659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529166</xdr:colOff>
      <xdr:row>196</xdr:row>
      <xdr:rowOff>60826</xdr:rowOff>
    </xdr:from>
    <xdr:ext cx="3572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8E305D9E-DA1E-BB06-8F36-43C9C0E6FF79}"/>
                </a:ext>
              </a:extLst>
            </xdr:cNvPr>
            <xdr:cNvSpPr txBox="1"/>
          </xdr:nvSpPr>
          <xdr:spPr>
            <a:xfrm>
              <a:off x="13500906889" y="37191615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8E305D9E-DA1E-BB06-8F36-43C9C0E6FF79}"/>
                </a:ext>
              </a:extLst>
            </xdr:cNvPr>
            <xdr:cNvSpPr txBox="1"/>
          </xdr:nvSpPr>
          <xdr:spPr>
            <a:xfrm>
              <a:off x="13500906889" y="37191615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89122</xdr:colOff>
      <xdr:row>201</xdr:row>
      <xdr:rowOff>110957</xdr:rowOff>
    </xdr:from>
    <xdr:ext cx="3572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BEB6896C-D0AA-01D6-C1DF-6B13D707B777}"/>
                </a:ext>
              </a:extLst>
            </xdr:cNvPr>
            <xdr:cNvSpPr txBox="1"/>
          </xdr:nvSpPr>
          <xdr:spPr>
            <a:xfrm>
              <a:off x="13502171319" y="38244378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BEB6896C-D0AA-01D6-C1DF-6B13D707B777}"/>
                </a:ext>
              </a:extLst>
            </xdr:cNvPr>
            <xdr:cNvSpPr txBox="1"/>
          </xdr:nvSpPr>
          <xdr:spPr>
            <a:xfrm>
              <a:off x="13502171319" y="38244378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490175</xdr:colOff>
      <xdr:row>202</xdr:row>
      <xdr:rowOff>127668</xdr:rowOff>
    </xdr:from>
    <xdr:ext cx="3572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B68A4469-60C5-6BEF-500F-CBA00D5D2CA2}"/>
                </a:ext>
              </a:extLst>
            </xdr:cNvPr>
            <xdr:cNvSpPr txBox="1"/>
          </xdr:nvSpPr>
          <xdr:spPr>
            <a:xfrm>
              <a:off x="13502594652" y="38461615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B68A4469-60C5-6BEF-500F-CBA00D5D2CA2}"/>
                </a:ext>
              </a:extLst>
            </xdr:cNvPr>
            <xdr:cNvSpPr txBox="1"/>
          </xdr:nvSpPr>
          <xdr:spPr>
            <a:xfrm>
              <a:off x="13502594652" y="38461615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222806</xdr:colOff>
      <xdr:row>202</xdr:row>
      <xdr:rowOff>133238</xdr:rowOff>
    </xdr:from>
    <xdr:ext cx="3572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8DB50EC0-8711-ED7F-3C58-B8B7814CCB35}"/>
                </a:ext>
              </a:extLst>
            </xdr:cNvPr>
            <xdr:cNvSpPr txBox="1"/>
          </xdr:nvSpPr>
          <xdr:spPr>
            <a:xfrm>
              <a:off x="13502862021" y="38467185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8DB50EC0-8711-ED7F-3C58-B8B7814CCB35}"/>
                </a:ext>
              </a:extLst>
            </xdr:cNvPr>
            <xdr:cNvSpPr txBox="1"/>
          </xdr:nvSpPr>
          <xdr:spPr>
            <a:xfrm>
              <a:off x="13502862021" y="38467185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673990</xdr:colOff>
      <xdr:row>202</xdr:row>
      <xdr:rowOff>127668</xdr:rowOff>
    </xdr:from>
    <xdr:ext cx="3572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E47ACBA6-6EBA-9401-67CD-72B1C485BD30}"/>
                </a:ext>
              </a:extLst>
            </xdr:cNvPr>
            <xdr:cNvSpPr txBox="1"/>
          </xdr:nvSpPr>
          <xdr:spPr>
            <a:xfrm>
              <a:off x="13503235223" y="38461615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49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E47ACBA6-6EBA-9401-67CD-72B1C485BD30}"/>
                </a:ext>
              </a:extLst>
            </xdr:cNvPr>
            <xdr:cNvSpPr txBox="1"/>
          </xdr:nvSpPr>
          <xdr:spPr>
            <a:xfrm>
              <a:off x="13503235223" y="38461615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49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334209</xdr:colOff>
      <xdr:row>201</xdr:row>
      <xdr:rowOff>144378</xdr:rowOff>
    </xdr:from>
    <xdr:ext cx="3572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93317620-B642-E60A-9A97-E0C95E3501D3}"/>
                </a:ext>
              </a:extLst>
            </xdr:cNvPr>
            <xdr:cNvSpPr txBox="1"/>
          </xdr:nvSpPr>
          <xdr:spPr>
            <a:xfrm>
              <a:off x="13503575004" y="38277799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93317620-B642-E60A-9A97-E0C95E3501D3}"/>
                </a:ext>
              </a:extLst>
            </xdr:cNvPr>
            <xdr:cNvSpPr txBox="1"/>
          </xdr:nvSpPr>
          <xdr:spPr>
            <a:xfrm>
              <a:off x="13503575004" y="38277799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464530</xdr:colOff>
      <xdr:row>231</xdr:row>
      <xdr:rowOff>21309</xdr:rowOff>
    </xdr:from>
    <xdr:to>
      <xdr:col>11</xdr:col>
      <xdr:colOff>490100</xdr:colOff>
      <xdr:row>242</xdr:row>
      <xdr:rowOff>110806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62E70732-15D5-9F46-99CF-2E8855F9FB34}"/>
            </a:ext>
          </a:extLst>
        </xdr:cNvPr>
        <xdr:cNvCxnSpPr/>
      </xdr:nvCxnSpPr>
      <xdr:spPr>
        <a:xfrm flipV="1">
          <a:off x="13497181303" y="21310520"/>
          <a:ext cx="25570" cy="2295286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93758</xdr:colOff>
      <xdr:row>237</xdr:row>
      <xdr:rowOff>119328</xdr:rowOff>
    </xdr:from>
    <xdr:to>
      <xdr:col>11</xdr:col>
      <xdr:colOff>813993</xdr:colOff>
      <xdr:row>237</xdr:row>
      <xdr:rowOff>123590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086D42D6-E0A7-2C4D-9768-2833C905A36C}"/>
            </a:ext>
          </a:extLst>
        </xdr:cNvPr>
        <xdr:cNvCxnSpPr/>
      </xdr:nvCxnSpPr>
      <xdr:spPr>
        <a:xfrm flipV="1">
          <a:off x="13496857410" y="22611696"/>
          <a:ext cx="3193393" cy="426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306846</xdr:colOff>
      <xdr:row>240</xdr:row>
      <xdr:rowOff>24377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196E0BED-B3AC-9D40-B622-289C003F07C0}"/>
                </a:ext>
              </a:extLst>
            </xdr:cNvPr>
            <xdr:cNvSpPr txBox="1"/>
          </xdr:nvSpPr>
          <xdr:spPr>
            <a:xfrm>
              <a:off x="13496617909" y="23118324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196E0BED-B3AC-9D40-B622-289C003F07C0}"/>
                </a:ext>
              </a:extLst>
            </xdr:cNvPr>
            <xdr:cNvSpPr txBox="1"/>
          </xdr:nvSpPr>
          <xdr:spPr>
            <a:xfrm>
              <a:off x="13496617909" y="23118324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242920</xdr:colOff>
      <xdr:row>232</xdr:row>
      <xdr:rowOff>118137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5705E4C4-5C08-024E-90DE-B5FD03DD5347}"/>
                </a:ext>
              </a:extLst>
            </xdr:cNvPr>
            <xdr:cNvSpPr txBox="1"/>
          </xdr:nvSpPr>
          <xdr:spPr>
            <a:xfrm>
              <a:off x="13496681835" y="21607874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5705E4C4-5C08-024E-90DE-B5FD03DD5347}"/>
                </a:ext>
              </a:extLst>
            </xdr:cNvPr>
            <xdr:cNvSpPr txBox="1"/>
          </xdr:nvSpPr>
          <xdr:spPr>
            <a:xfrm>
              <a:off x="13496681835" y="21607874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255704</xdr:colOff>
      <xdr:row>233</xdr:row>
      <xdr:rowOff>12785</xdr:rowOff>
    </xdr:from>
    <xdr:to>
      <xdr:col>11</xdr:col>
      <xdr:colOff>490101</xdr:colOff>
      <xdr:row>240</xdr:row>
      <xdr:rowOff>127852</xdr:rowOff>
    </xdr:to>
    <xdr:grpSp>
      <xdr:nvGrpSpPr>
        <xdr:cNvPr id="56" name="Group 55">
          <a:extLst>
            <a:ext uri="{FF2B5EF4-FFF2-40B4-BE49-F238E27FC236}">
              <a16:creationId xmlns:a16="http://schemas.microsoft.com/office/drawing/2014/main" id="{F12C83AA-FA67-FF47-A281-DFF3076B638E}"/>
            </a:ext>
          </a:extLst>
        </xdr:cNvPr>
        <xdr:cNvGrpSpPr/>
      </xdr:nvGrpSpPr>
      <xdr:grpSpPr>
        <a:xfrm>
          <a:off x="13535807389" y="47610393"/>
          <a:ext cx="2714632" cy="1544439"/>
          <a:chOff x="13537181443" y="16812584"/>
          <a:chExt cx="2714732" cy="1547013"/>
        </a:xfrm>
      </xdr:grpSpPr>
      <xdr:cxnSp macro="">
        <xdr:nvCxnSpPr>
          <xdr:cNvPr id="59" name="Straight Connector 58">
            <a:extLst>
              <a:ext uri="{FF2B5EF4-FFF2-40B4-BE49-F238E27FC236}">
                <a16:creationId xmlns:a16="http://schemas.microsoft.com/office/drawing/2014/main" id="{F6573434-266B-2656-25BD-45E3E9776EEC}"/>
              </a:ext>
            </a:extLst>
          </xdr:cNvPr>
          <xdr:cNvCxnSpPr/>
        </xdr:nvCxnSpPr>
        <xdr:spPr>
          <a:xfrm>
            <a:off x="13537181443" y="18346812"/>
            <a:ext cx="609429" cy="0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0" name="Straight Connector 59">
            <a:extLst>
              <a:ext uri="{FF2B5EF4-FFF2-40B4-BE49-F238E27FC236}">
                <a16:creationId xmlns:a16="http://schemas.microsoft.com/office/drawing/2014/main" id="{9983EF00-24BE-A2A9-4DFB-03DFC42423B2}"/>
              </a:ext>
            </a:extLst>
          </xdr:cNvPr>
          <xdr:cNvCxnSpPr/>
        </xdr:nvCxnSpPr>
        <xdr:spPr>
          <a:xfrm flipV="1">
            <a:off x="13537795134" y="16812584"/>
            <a:ext cx="698926" cy="1547013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5" name="Straight Connector 64">
            <a:extLst>
              <a:ext uri="{FF2B5EF4-FFF2-40B4-BE49-F238E27FC236}">
                <a16:creationId xmlns:a16="http://schemas.microsoft.com/office/drawing/2014/main" id="{73D64C0C-A516-038A-E4B0-C1F4C73B6229}"/>
              </a:ext>
            </a:extLst>
          </xdr:cNvPr>
          <xdr:cNvCxnSpPr/>
        </xdr:nvCxnSpPr>
        <xdr:spPr>
          <a:xfrm flipH="1" flipV="1">
            <a:off x="13538494060" y="16821107"/>
            <a:ext cx="609430" cy="1529967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6" name="Straight Connector 65">
            <a:extLst>
              <a:ext uri="{FF2B5EF4-FFF2-40B4-BE49-F238E27FC236}">
                <a16:creationId xmlns:a16="http://schemas.microsoft.com/office/drawing/2014/main" id="{7E89CADA-D0D7-AEB0-B43A-7FDA6809C137}"/>
              </a:ext>
            </a:extLst>
          </xdr:cNvPr>
          <xdr:cNvCxnSpPr/>
        </xdr:nvCxnSpPr>
        <xdr:spPr>
          <a:xfrm>
            <a:off x="13539107752" y="18351074"/>
            <a:ext cx="788423" cy="4262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</xdr:grpSp>
    <xdr:clientData/>
  </xdr:twoCellAnchor>
  <xdr:twoCellAnchor>
    <xdr:from>
      <xdr:col>9</xdr:col>
      <xdr:colOff>737282</xdr:colOff>
      <xdr:row>232</xdr:row>
      <xdr:rowOff>127852</xdr:rowOff>
    </xdr:from>
    <xdr:to>
      <xdr:col>10</xdr:col>
      <xdr:colOff>98020</xdr:colOff>
      <xdr:row>233</xdr:row>
      <xdr:rowOff>115067</xdr:rowOff>
    </xdr:to>
    <xdr:sp macro="" textlink="">
      <xdr:nvSpPr>
        <xdr:cNvPr id="67" name="Smiley Face 66">
          <a:extLst>
            <a:ext uri="{FF2B5EF4-FFF2-40B4-BE49-F238E27FC236}">
              <a16:creationId xmlns:a16="http://schemas.microsoft.com/office/drawing/2014/main" id="{8F5DF700-39C9-194D-A08F-D584F24A12B8}"/>
            </a:ext>
          </a:extLst>
        </xdr:cNvPr>
        <xdr:cNvSpPr/>
      </xdr:nvSpPr>
      <xdr:spPr>
        <a:xfrm>
          <a:off x="13498397769" y="21617589"/>
          <a:ext cx="185124" cy="187741"/>
        </a:xfrm>
        <a:prstGeom prst="smileyFac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9</xdr:col>
      <xdr:colOff>443222</xdr:colOff>
      <xdr:row>237</xdr:row>
      <xdr:rowOff>147970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3573AE9B-A6D4-6845-B656-F3DDA6449CB6}"/>
                </a:ext>
              </a:extLst>
            </xdr:cNvPr>
            <xdr:cNvSpPr txBox="1"/>
          </xdr:nvSpPr>
          <xdr:spPr>
            <a:xfrm>
              <a:off x="13498130305" y="22640338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3573AE9B-A6D4-6845-B656-F3DDA6449CB6}"/>
                </a:ext>
              </a:extLst>
            </xdr:cNvPr>
            <xdr:cNvSpPr txBox="1"/>
          </xdr:nvSpPr>
          <xdr:spPr>
            <a:xfrm>
              <a:off x="13498130305" y="22640338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315369</xdr:colOff>
      <xdr:row>236</xdr:row>
      <xdr:rowOff>160755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30077CCA-CFE1-DC40-93C3-93D0372A54F2}"/>
                </a:ext>
              </a:extLst>
            </xdr:cNvPr>
            <xdr:cNvSpPr txBox="1"/>
          </xdr:nvSpPr>
          <xdr:spPr>
            <a:xfrm>
              <a:off x="13497433772" y="22452597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30077CCA-CFE1-DC40-93C3-93D0372A54F2}"/>
                </a:ext>
              </a:extLst>
            </xdr:cNvPr>
            <xdr:cNvSpPr txBox="1"/>
          </xdr:nvSpPr>
          <xdr:spPr>
            <a:xfrm>
              <a:off x="13497433772" y="22452597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688693</xdr:colOff>
      <xdr:row>237</xdr:row>
      <xdr:rowOff>128289</xdr:rowOff>
    </xdr:from>
    <xdr:to>
      <xdr:col>10</xdr:col>
      <xdr:colOff>703188</xdr:colOff>
      <xdr:row>240</xdr:row>
      <xdr:rowOff>110805</xdr:rowOff>
    </xdr:to>
    <xdr:cxnSp macro="">
      <xdr:nvCxnSpPr>
        <xdr:cNvPr id="95" name="Straight Connector 94">
          <a:extLst>
            <a:ext uri="{FF2B5EF4-FFF2-40B4-BE49-F238E27FC236}">
              <a16:creationId xmlns:a16="http://schemas.microsoft.com/office/drawing/2014/main" id="{7598768C-8030-5648-86ED-8FF6E4AB3F78}"/>
            </a:ext>
          </a:extLst>
        </xdr:cNvPr>
        <xdr:cNvCxnSpPr>
          <a:stCxn id="94" idx="2"/>
        </xdr:cNvCxnSpPr>
      </xdr:nvCxnSpPr>
      <xdr:spPr>
        <a:xfrm flipH="1">
          <a:off x="13497792601" y="22620657"/>
          <a:ext cx="14495" cy="584095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639262</xdr:colOff>
      <xdr:row>236</xdr:row>
      <xdr:rowOff>143708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06CFFF0C-BF6B-4449-9BD7-ACC83962FDFD}"/>
                </a:ext>
              </a:extLst>
            </xdr:cNvPr>
            <xdr:cNvSpPr txBox="1"/>
          </xdr:nvSpPr>
          <xdr:spPr>
            <a:xfrm>
              <a:off x="13498758651" y="22435550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06CFFF0C-BF6B-4449-9BD7-ACC83962FDFD}"/>
                </a:ext>
              </a:extLst>
            </xdr:cNvPr>
            <xdr:cNvSpPr txBox="1"/>
          </xdr:nvSpPr>
          <xdr:spPr>
            <a:xfrm>
              <a:off x="13498758651" y="22435550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70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198593</xdr:colOff>
      <xdr:row>237</xdr:row>
      <xdr:rowOff>124027</xdr:rowOff>
    </xdr:from>
    <xdr:to>
      <xdr:col>9</xdr:col>
      <xdr:colOff>213088</xdr:colOff>
      <xdr:row>240</xdr:row>
      <xdr:rowOff>106543</xdr:rowOff>
    </xdr:to>
    <xdr:cxnSp macro="">
      <xdr:nvCxnSpPr>
        <xdr:cNvPr id="97" name="Straight Connector 96">
          <a:extLst>
            <a:ext uri="{FF2B5EF4-FFF2-40B4-BE49-F238E27FC236}">
              <a16:creationId xmlns:a16="http://schemas.microsoft.com/office/drawing/2014/main" id="{DFFEEA49-883B-1A47-8FEC-29F760B7D319}"/>
            </a:ext>
          </a:extLst>
        </xdr:cNvPr>
        <xdr:cNvCxnSpPr/>
      </xdr:nvCxnSpPr>
      <xdr:spPr>
        <a:xfrm flipH="1">
          <a:off x="13499107087" y="22616395"/>
          <a:ext cx="14495" cy="584095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10</xdr:col>
      <xdr:colOff>0</xdr:colOff>
      <xdr:row>237</xdr:row>
      <xdr:rowOff>126661</xdr:rowOff>
    </xdr:from>
    <xdr:ext cx="746648" cy="1095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0B2E20E6-7A76-CC42-A97D-370F88DB77BA}"/>
                </a:ext>
              </a:extLst>
            </xdr:cNvPr>
            <xdr:cNvSpPr txBox="1"/>
          </xdr:nvSpPr>
          <xdr:spPr>
            <a:xfrm>
              <a:off x="13497749141" y="22619029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7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61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0B2E20E6-7A76-CC42-A97D-370F88DB77BA}"/>
                </a:ext>
              </a:extLst>
            </xdr:cNvPr>
            <xdr:cNvSpPr txBox="1"/>
          </xdr:nvSpPr>
          <xdr:spPr>
            <a:xfrm>
              <a:off x="13497749141" y="22619029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7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61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6814</xdr:colOff>
      <xdr:row>234</xdr:row>
      <xdr:rowOff>437</xdr:rowOff>
    </xdr:from>
    <xdr:to>
      <xdr:col>10</xdr:col>
      <xdr:colOff>12785</xdr:colOff>
      <xdr:row>237</xdr:row>
      <xdr:rowOff>181420</xdr:rowOff>
    </xdr:to>
    <xdr:cxnSp macro="">
      <xdr:nvCxnSpPr>
        <xdr:cNvPr id="99" name="Straight Connector 98">
          <a:extLst>
            <a:ext uri="{FF2B5EF4-FFF2-40B4-BE49-F238E27FC236}">
              <a16:creationId xmlns:a16="http://schemas.microsoft.com/office/drawing/2014/main" id="{B5A647E0-CEEC-FF44-A712-A4969432D54E}"/>
            </a:ext>
          </a:extLst>
        </xdr:cNvPr>
        <xdr:cNvCxnSpPr/>
      </xdr:nvCxnSpPr>
      <xdr:spPr>
        <a:xfrm flipH="1">
          <a:off x="13498483004" y="21891226"/>
          <a:ext cx="5971" cy="782562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153424</xdr:colOff>
      <xdr:row>237</xdr:row>
      <xdr:rowOff>130923</xdr:rowOff>
    </xdr:from>
    <xdr:ext cx="746648" cy="1095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4D8B47BB-D218-3440-AD8B-8790D3868BC4}"/>
                </a:ext>
              </a:extLst>
            </xdr:cNvPr>
            <xdr:cNvSpPr txBox="1"/>
          </xdr:nvSpPr>
          <xdr:spPr>
            <a:xfrm>
              <a:off x="13498420103" y="22623291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7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69</m:t>
                    </m:r>
                  </m:oMath>
                </m:oMathPara>
              </a14:m>
              <a:endParaRPr lang="en-US" sz="7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4D8B47BB-D218-3440-AD8B-8790D3868BC4}"/>
                </a:ext>
              </a:extLst>
            </xdr:cNvPr>
            <xdr:cNvSpPr txBox="1"/>
          </xdr:nvSpPr>
          <xdr:spPr>
            <a:xfrm>
              <a:off x="13498420103" y="22623291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7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69</a:t>
              </a:r>
              <a:endParaRPr lang="en-US" sz="700"/>
            </a:p>
          </xdr:txBody>
        </xdr:sp>
      </mc:Fallback>
    </mc:AlternateContent>
    <xdr:clientData/>
  </xdr:oneCellAnchor>
  <xdr:twoCellAnchor>
    <xdr:from>
      <xdr:col>5</xdr:col>
      <xdr:colOff>215846</xdr:colOff>
      <xdr:row>106</xdr:row>
      <xdr:rowOff>15875</xdr:rowOff>
    </xdr:from>
    <xdr:to>
      <xdr:col>7</xdr:col>
      <xdr:colOff>447675</xdr:colOff>
      <xdr:row>110</xdr:row>
      <xdr:rowOff>73025</xdr:rowOff>
    </xdr:to>
    <xdr:sp macro="" textlink="">
      <xdr:nvSpPr>
        <xdr:cNvPr id="2" name="Freeform 1">
          <a:extLst>
            <a:ext uri="{FF2B5EF4-FFF2-40B4-BE49-F238E27FC236}">
              <a16:creationId xmlns:a16="http://schemas.microsoft.com/office/drawing/2014/main" id="{7A055CCC-FE06-5FAE-87E0-342E62474B1D}"/>
            </a:ext>
          </a:extLst>
        </xdr:cNvPr>
        <xdr:cNvSpPr/>
      </xdr:nvSpPr>
      <xdr:spPr>
        <a:xfrm>
          <a:off x="13518765825" y="21580475"/>
          <a:ext cx="1882829" cy="869950"/>
        </a:xfrm>
        <a:custGeom>
          <a:avLst/>
          <a:gdLst>
            <a:gd name="connsiteX0" fmla="*/ 0 w 1882829"/>
            <a:gd name="connsiteY0" fmla="*/ 781050 h 869950"/>
            <a:gd name="connsiteX1" fmla="*/ 95250 w 1882829"/>
            <a:gd name="connsiteY1" fmla="*/ 787400 h 869950"/>
            <a:gd name="connsiteX2" fmla="*/ 120650 w 1882829"/>
            <a:gd name="connsiteY2" fmla="*/ 790575 h 869950"/>
            <a:gd name="connsiteX3" fmla="*/ 139700 w 1882829"/>
            <a:gd name="connsiteY3" fmla="*/ 796925 h 869950"/>
            <a:gd name="connsiteX4" fmla="*/ 161925 w 1882829"/>
            <a:gd name="connsiteY4" fmla="*/ 800100 h 869950"/>
            <a:gd name="connsiteX5" fmla="*/ 273050 w 1882829"/>
            <a:gd name="connsiteY5" fmla="*/ 806450 h 869950"/>
            <a:gd name="connsiteX6" fmla="*/ 327025 w 1882829"/>
            <a:gd name="connsiteY6" fmla="*/ 809625 h 869950"/>
            <a:gd name="connsiteX7" fmla="*/ 371475 w 1882829"/>
            <a:gd name="connsiteY7" fmla="*/ 812800 h 869950"/>
            <a:gd name="connsiteX8" fmla="*/ 469900 w 1882829"/>
            <a:gd name="connsiteY8" fmla="*/ 815975 h 869950"/>
            <a:gd name="connsiteX9" fmla="*/ 615950 w 1882829"/>
            <a:gd name="connsiteY9" fmla="*/ 812800 h 869950"/>
            <a:gd name="connsiteX10" fmla="*/ 619125 w 1882829"/>
            <a:gd name="connsiteY10" fmla="*/ 787400 h 869950"/>
            <a:gd name="connsiteX11" fmla="*/ 647700 w 1882829"/>
            <a:gd name="connsiteY11" fmla="*/ 736600 h 869950"/>
            <a:gd name="connsiteX12" fmla="*/ 704850 w 1882829"/>
            <a:gd name="connsiteY12" fmla="*/ 612775 h 869950"/>
            <a:gd name="connsiteX13" fmla="*/ 723900 w 1882829"/>
            <a:gd name="connsiteY13" fmla="*/ 555625 h 869950"/>
            <a:gd name="connsiteX14" fmla="*/ 739775 w 1882829"/>
            <a:gd name="connsiteY14" fmla="*/ 511175 h 869950"/>
            <a:gd name="connsiteX15" fmla="*/ 755650 w 1882829"/>
            <a:gd name="connsiteY15" fmla="*/ 444500 h 869950"/>
            <a:gd name="connsiteX16" fmla="*/ 777875 w 1882829"/>
            <a:gd name="connsiteY16" fmla="*/ 381000 h 869950"/>
            <a:gd name="connsiteX17" fmla="*/ 784225 w 1882829"/>
            <a:gd name="connsiteY17" fmla="*/ 361950 h 869950"/>
            <a:gd name="connsiteX18" fmla="*/ 790575 w 1882829"/>
            <a:gd name="connsiteY18" fmla="*/ 349250 h 869950"/>
            <a:gd name="connsiteX19" fmla="*/ 796925 w 1882829"/>
            <a:gd name="connsiteY19" fmla="*/ 320675 h 869950"/>
            <a:gd name="connsiteX20" fmla="*/ 803275 w 1882829"/>
            <a:gd name="connsiteY20" fmla="*/ 298450 h 869950"/>
            <a:gd name="connsiteX21" fmla="*/ 812800 w 1882829"/>
            <a:gd name="connsiteY21" fmla="*/ 276225 h 869950"/>
            <a:gd name="connsiteX22" fmla="*/ 822325 w 1882829"/>
            <a:gd name="connsiteY22" fmla="*/ 247650 h 869950"/>
            <a:gd name="connsiteX23" fmla="*/ 831850 w 1882829"/>
            <a:gd name="connsiteY23" fmla="*/ 203200 h 869950"/>
            <a:gd name="connsiteX24" fmla="*/ 835025 w 1882829"/>
            <a:gd name="connsiteY24" fmla="*/ 184150 h 869950"/>
            <a:gd name="connsiteX25" fmla="*/ 841375 w 1882829"/>
            <a:gd name="connsiteY25" fmla="*/ 161925 h 869950"/>
            <a:gd name="connsiteX26" fmla="*/ 847725 w 1882829"/>
            <a:gd name="connsiteY26" fmla="*/ 117475 h 869950"/>
            <a:gd name="connsiteX27" fmla="*/ 854075 w 1882829"/>
            <a:gd name="connsiteY27" fmla="*/ 98425 h 869950"/>
            <a:gd name="connsiteX28" fmla="*/ 857250 w 1882829"/>
            <a:gd name="connsiteY28" fmla="*/ 85725 h 869950"/>
            <a:gd name="connsiteX29" fmla="*/ 860425 w 1882829"/>
            <a:gd name="connsiteY29" fmla="*/ 53975 h 869950"/>
            <a:gd name="connsiteX30" fmla="*/ 866775 w 1882829"/>
            <a:gd name="connsiteY30" fmla="*/ 34925 h 869950"/>
            <a:gd name="connsiteX31" fmla="*/ 876300 w 1882829"/>
            <a:gd name="connsiteY31" fmla="*/ 0 h 869950"/>
            <a:gd name="connsiteX32" fmla="*/ 879475 w 1882829"/>
            <a:gd name="connsiteY32" fmla="*/ 12700 h 869950"/>
            <a:gd name="connsiteX33" fmla="*/ 882650 w 1882829"/>
            <a:gd name="connsiteY33" fmla="*/ 22225 h 869950"/>
            <a:gd name="connsiteX34" fmla="*/ 898525 w 1882829"/>
            <a:gd name="connsiteY34" fmla="*/ 66675 h 869950"/>
            <a:gd name="connsiteX35" fmla="*/ 927100 w 1882829"/>
            <a:gd name="connsiteY35" fmla="*/ 107950 h 869950"/>
            <a:gd name="connsiteX36" fmla="*/ 936625 w 1882829"/>
            <a:gd name="connsiteY36" fmla="*/ 123825 h 869950"/>
            <a:gd name="connsiteX37" fmla="*/ 958850 w 1882829"/>
            <a:gd name="connsiteY37" fmla="*/ 161925 h 869950"/>
            <a:gd name="connsiteX38" fmla="*/ 968375 w 1882829"/>
            <a:gd name="connsiteY38" fmla="*/ 180975 h 869950"/>
            <a:gd name="connsiteX39" fmla="*/ 981075 w 1882829"/>
            <a:gd name="connsiteY39" fmla="*/ 203200 h 869950"/>
            <a:gd name="connsiteX40" fmla="*/ 1000125 w 1882829"/>
            <a:gd name="connsiteY40" fmla="*/ 247650 h 869950"/>
            <a:gd name="connsiteX41" fmla="*/ 1009650 w 1882829"/>
            <a:gd name="connsiteY41" fmla="*/ 266700 h 869950"/>
            <a:gd name="connsiteX42" fmla="*/ 1016000 w 1882829"/>
            <a:gd name="connsiteY42" fmla="*/ 288925 h 869950"/>
            <a:gd name="connsiteX43" fmla="*/ 1025525 w 1882829"/>
            <a:gd name="connsiteY43" fmla="*/ 311150 h 869950"/>
            <a:gd name="connsiteX44" fmla="*/ 1044575 w 1882829"/>
            <a:gd name="connsiteY44" fmla="*/ 361950 h 869950"/>
            <a:gd name="connsiteX45" fmla="*/ 1054100 w 1882829"/>
            <a:gd name="connsiteY45" fmla="*/ 387350 h 869950"/>
            <a:gd name="connsiteX46" fmla="*/ 1066800 w 1882829"/>
            <a:gd name="connsiteY46" fmla="*/ 438150 h 869950"/>
            <a:gd name="connsiteX47" fmla="*/ 1076325 w 1882829"/>
            <a:gd name="connsiteY47" fmla="*/ 463550 h 869950"/>
            <a:gd name="connsiteX48" fmla="*/ 1089025 w 1882829"/>
            <a:gd name="connsiteY48" fmla="*/ 508000 h 869950"/>
            <a:gd name="connsiteX49" fmla="*/ 1104900 w 1882829"/>
            <a:gd name="connsiteY49" fmla="*/ 552450 h 869950"/>
            <a:gd name="connsiteX50" fmla="*/ 1108075 w 1882829"/>
            <a:gd name="connsiteY50" fmla="*/ 561975 h 869950"/>
            <a:gd name="connsiteX51" fmla="*/ 1114425 w 1882829"/>
            <a:gd name="connsiteY51" fmla="*/ 596900 h 869950"/>
            <a:gd name="connsiteX52" fmla="*/ 1123950 w 1882829"/>
            <a:gd name="connsiteY52" fmla="*/ 631825 h 869950"/>
            <a:gd name="connsiteX53" fmla="*/ 1130300 w 1882829"/>
            <a:gd name="connsiteY53" fmla="*/ 666750 h 869950"/>
            <a:gd name="connsiteX54" fmla="*/ 1139825 w 1882829"/>
            <a:gd name="connsiteY54" fmla="*/ 692150 h 869950"/>
            <a:gd name="connsiteX55" fmla="*/ 1143000 w 1882829"/>
            <a:gd name="connsiteY55" fmla="*/ 708025 h 869950"/>
            <a:gd name="connsiteX56" fmla="*/ 1155700 w 1882829"/>
            <a:gd name="connsiteY56" fmla="*/ 742950 h 869950"/>
            <a:gd name="connsiteX57" fmla="*/ 1168400 w 1882829"/>
            <a:gd name="connsiteY57" fmla="*/ 765175 h 869950"/>
            <a:gd name="connsiteX58" fmla="*/ 1174750 w 1882829"/>
            <a:gd name="connsiteY58" fmla="*/ 777875 h 869950"/>
            <a:gd name="connsiteX59" fmla="*/ 1181100 w 1882829"/>
            <a:gd name="connsiteY59" fmla="*/ 838200 h 869950"/>
            <a:gd name="connsiteX60" fmla="*/ 1187450 w 1882829"/>
            <a:gd name="connsiteY60" fmla="*/ 854075 h 869950"/>
            <a:gd name="connsiteX61" fmla="*/ 1190625 w 1882829"/>
            <a:gd name="connsiteY61" fmla="*/ 869950 h 869950"/>
            <a:gd name="connsiteX62" fmla="*/ 1193800 w 1882829"/>
            <a:gd name="connsiteY62" fmla="*/ 860425 h 869950"/>
            <a:gd name="connsiteX63" fmla="*/ 1241425 w 1882829"/>
            <a:gd name="connsiteY63" fmla="*/ 847725 h 869950"/>
            <a:gd name="connsiteX64" fmla="*/ 1317625 w 1882829"/>
            <a:gd name="connsiteY64" fmla="*/ 841375 h 869950"/>
            <a:gd name="connsiteX65" fmla="*/ 1447800 w 1882829"/>
            <a:gd name="connsiteY65" fmla="*/ 844550 h 869950"/>
            <a:gd name="connsiteX66" fmla="*/ 1466850 w 1882829"/>
            <a:gd name="connsiteY66" fmla="*/ 850900 h 869950"/>
            <a:gd name="connsiteX67" fmla="*/ 1501775 w 1882829"/>
            <a:gd name="connsiteY67" fmla="*/ 857250 h 869950"/>
            <a:gd name="connsiteX68" fmla="*/ 1511300 w 1882829"/>
            <a:gd name="connsiteY68" fmla="*/ 860425 h 869950"/>
            <a:gd name="connsiteX69" fmla="*/ 1514475 w 1882829"/>
            <a:gd name="connsiteY69" fmla="*/ 841375 h 869950"/>
            <a:gd name="connsiteX70" fmla="*/ 1517650 w 1882829"/>
            <a:gd name="connsiteY70" fmla="*/ 825500 h 869950"/>
            <a:gd name="connsiteX71" fmla="*/ 1527175 w 1882829"/>
            <a:gd name="connsiteY71" fmla="*/ 819150 h 869950"/>
            <a:gd name="connsiteX72" fmla="*/ 1685925 w 1882829"/>
            <a:gd name="connsiteY72" fmla="*/ 815975 h 869950"/>
            <a:gd name="connsiteX73" fmla="*/ 1704975 w 1882829"/>
            <a:gd name="connsiteY73" fmla="*/ 812800 h 869950"/>
            <a:gd name="connsiteX74" fmla="*/ 1727200 w 1882829"/>
            <a:gd name="connsiteY74" fmla="*/ 806450 h 869950"/>
            <a:gd name="connsiteX75" fmla="*/ 1749425 w 1882829"/>
            <a:gd name="connsiteY75" fmla="*/ 800100 h 869950"/>
            <a:gd name="connsiteX76" fmla="*/ 1822450 w 1882829"/>
            <a:gd name="connsiteY76" fmla="*/ 803275 h 869950"/>
            <a:gd name="connsiteX77" fmla="*/ 1851025 w 1882829"/>
            <a:gd name="connsiteY77" fmla="*/ 809625 h 869950"/>
            <a:gd name="connsiteX78" fmla="*/ 1879600 w 1882829"/>
            <a:gd name="connsiteY78" fmla="*/ 815975 h 869950"/>
            <a:gd name="connsiteX79" fmla="*/ 1879600 w 1882829"/>
            <a:gd name="connsiteY79" fmla="*/ 831850 h 86995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</a:cxnLst>
          <a:rect l="l" t="t" r="r" b="b"/>
          <a:pathLst>
            <a:path w="1882829" h="869950">
              <a:moveTo>
                <a:pt x="0" y="781050"/>
              </a:moveTo>
              <a:cubicBezTo>
                <a:pt x="52985" y="788619"/>
                <a:pt x="-6870" y="780812"/>
                <a:pt x="95250" y="787400"/>
              </a:cubicBezTo>
              <a:cubicBezTo>
                <a:pt x="103765" y="787949"/>
                <a:pt x="112183" y="789517"/>
                <a:pt x="120650" y="790575"/>
              </a:cubicBezTo>
              <a:cubicBezTo>
                <a:pt x="127000" y="792692"/>
                <a:pt x="133074" y="795978"/>
                <a:pt x="139700" y="796925"/>
              </a:cubicBezTo>
              <a:cubicBezTo>
                <a:pt x="147108" y="797983"/>
                <a:pt x="154475" y="799390"/>
                <a:pt x="161925" y="800100"/>
              </a:cubicBezTo>
              <a:cubicBezTo>
                <a:pt x="197729" y="803510"/>
                <a:pt x="237732" y="804591"/>
                <a:pt x="273050" y="806450"/>
              </a:cubicBezTo>
              <a:lnTo>
                <a:pt x="327025" y="809625"/>
              </a:lnTo>
              <a:cubicBezTo>
                <a:pt x="341849" y="810581"/>
                <a:pt x="356635" y="812140"/>
                <a:pt x="371475" y="812800"/>
              </a:cubicBezTo>
              <a:cubicBezTo>
                <a:pt x="404268" y="814257"/>
                <a:pt x="437092" y="814917"/>
                <a:pt x="469900" y="815975"/>
              </a:cubicBezTo>
              <a:cubicBezTo>
                <a:pt x="518583" y="814917"/>
                <a:pt x="568124" y="821958"/>
                <a:pt x="615950" y="812800"/>
              </a:cubicBezTo>
              <a:cubicBezTo>
                <a:pt x="624330" y="811195"/>
                <a:pt x="616926" y="795644"/>
                <a:pt x="619125" y="787400"/>
              </a:cubicBezTo>
              <a:cubicBezTo>
                <a:pt x="625373" y="763971"/>
                <a:pt x="635238" y="758647"/>
                <a:pt x="647700" y="736600"/>
              </a:cubicBezTo>
              <a:cubicBezTo>
                <a:pt x="661501" y="712182"/>
                <a:pt x="700510" y="627242"/>
                <a:pt x="704850" y="612775"/>
              </a:cubicBezTo>
              <a:cubicBezTo>
                <a:pt x="733353" y="517765"/>
                <a:pt x="697091" y="636053"/>
                <a:pt x="723900" y="555625"/>
              </a:cubicBezTo>
              <a:cubicBezTo>
                <a:pt x="738887" y="510663"/>
                <a:pt x="720496" y="556160"/>
                <a:pt x="739775" y="511175"/>
              </a:cubicBezTo>
              <a:cubicBezTo>
                <a:pt x="745193" y="484085"/>
                <a:pt x="746973" y="471399"/>
                <a:pt x="755650" y="444500"/>
              </a:cubicBezTo>
              <a:cubicBezTo>
                <a:pt x="762535" y="423157"/>
                <a:pt x="770539" y="402192"/>
                <a:pt x="777875" y="381000"/>
              </a:cubicBezTo>
              <a:cubicBezTo>
                <a:pt x="780065" y="374675"/>
                <a:pt x="781232" y="367937"/>
                <a:pt x="784225" y="361950"/>
              </a:cubicBezTo>
              <a:cubicBezTo>
                <a:pt x="786342" y="357717"/>
                <a:pt x="788913" y="353682"/>
                <a:pt x="790575" y="349250"/>
              </a:cubicBezTo>
              <a:cubicBezTo>
                <a:pt x="793019" y="342731"/>
                <a:pt x="795416" y="326710"/>
                <a:pt x="796925" y="320675"/>
              </a:cubicBezTo>
              <a:cubicBezTo>
                <a:pt x="798794" y="313200"/>
                <a:pt x="800684" y="305706"/>
                <a:pt x="803275" y="298450"/>
              </a:cubicBezTo>
              <a:cubicBezTo>
                <a:pt x="805986" y="290860"/>
                <a:pt x="809970" y="283772"/>
                <a:pt x="812800" y="276225"/>
              </a:cubicBezTo>
              <a:cubicBezTo>
                <a:pt x="816325" y="266824"/>
                <a:pt x="819150" y="257175"/>
                <a:pt x="822325" y="247650"/>
              </a:cubicBezTo>
              <a:cubicBezTo>
                <a:pt x="829214" y="192540"/>
                <a:pt x="820540" y="248441"/>
                <a:pt x="831850" y="203200"/>
              </a:cubicBezTo>
              <a:cubicBezTo>
                <a:pt x="833411" y="196955"/>
                <a:pt x="833762" y="190463"/>
                <a:pt x="835025" y="184150"/>
              </a:cubicBezTo>
              <a:cubicBezTo>
                <a:pt x="837018" y="174183"/>
                <a:pt x="838349" y="171003"/>
                <a:pt x="841375" y="161925"/>
              </a:cubicBezTo>
              <a:cubicBezTo>
                <a:pt x="842315" y="154407"/>
                <a:pt x="845436" y="126630"/>
                <a:pt x="847725" y="117475"/>
              </a:cubicBezTo>
              <a:cubicBezTo>
                <a:pt x="849348" y="110981"/>
                <a:pt x="852152" y="104836"/>
                <a:pt x="854075" y="98425"/>
              </a:cubicBezTo>
              <a:cubicBezTo>
                <a:pt x="855329" y="94245"/>
                <a:pt x="856192" y="89958"/>
                <a:pt x="857250" y="85725"/>
              </a:cubicBezTo>
              <a:cubicBezTo>
                <a:pt x="858308" y="75142"/>
                <a:pt x="858465" y="64429"/>
                <a:pt x="860425" y="53975"/>
              </a:cubicBezTo>
              <a:cubicBezTo>
                <a:pt x="861659" y="47396"/>
                <a:pt x="864936" y="41361"/>
                <a:pt x="866775" y="34925"/>
              </a:cubicBezTo>
              <a:cubicBezTo>
                <a:pt x="881098" y="-15207"/>
                <a:pt x="867619" y="26044"/>
                <a:pt x="876300" y="0"/>
              </a:cubicBezTo>
              <a:cubicBezTo>
                <a:pt x="877358" y="4233"/>
                <a:pt x="878276" y="8504"/>
                <a:pt x="879475" y="12700"/>
              </a:cubicBezTo>
              <a:cubicBezTo>
                <a:pt x="880394" y="15918"/>
                <a:pt x="881924" y="18958"/>
                <a:pt x="882650" y="22225"/>
              </a:cubicBezTo>
              <a:cubicBezTo>
                <a:pt x="886382" y="39018"/>
                <a:pt x="884416" y="52566"/>
                <a:pt x="898525" y="66675"/>
              </a:cubicBezTo>
              <a:cubicBezTo>
                <a:pt x="916777" y="84927"/>
                <a:pt x="905740" y="72350"/>
                <a:pt x="927100" y="107950"/>
              </a:cubicBezTo>
              <a:cubicBezTo>
                <a:pt x="930275" y="113242"/>
                <a:pt x="933865" y="118305"/>
                <a:pt x="936625" y="123825"/>
              </a:cubicBezTo>
              <a:cubicBezTo>
                <a:pt x="961171" y="172918"/>
                <a:pt x="929733" y="112011"/>
                <a:pt x="958850" y="161925"/>
              </a:cubicBezTo>
              <a:cubicBezTo>
                <a:pt x="962427" y="168057"/>
                <a:pt x="965009" y="174724"/>
                <a:pt x="968375" y="180975"/>
              </a:cubicBezTo>
              <a:cubicBezTo>
                <a:pt x="972420" y="188488"/>
                <a:pt x="977407" y="195496"/>
                <a:pt x="981075" y="203200"/>
              </a:cubicBezTo>
              <a:cubicBezTo>
                <a:pt x="988006" y="217754"/>
                <a:pt x="992916" y="233232"/>
                <a:pt x="1000125" y="247650"/>
              </a:cubicBezTo>
              <a:cubicBezTo>
                <a:pt x="1003300" y="254000"/>
                <a:pt x="1007101" y="260074"/>
                <a:pt x="1009650" y="266700"/>
              </a:cubicBezTo>
              <a:cubicBezTo>
                <a:pt x="1012416" y="273891"/>
                <a:pt x="1013409" y="281669"/>
                <a:pt x="1016000" y="288925"/>
              </a:cubicBezTo>
              <a:cubicBezTo>
                <a:pt x="1018711" y="296515"/>
                <a:pt x="1022588" y="303644"/>
                <a:pt x="1025525" y="311150"/>
              </a:cubicBezTo>
              <a:cubicBezTo>
                <a:pt x="1032115" y="327991"/>
                <a:pt x="1038225" y="345017"/>
                <a:pt x="1044575" y="361950"/>
              </a:cubicBezTo>
              <a:cubicBezTo>
                <a:pt x="1047750" y="370417"/>
                <a:pt x="1052138" y="378523"/>
                <a:pt x="1054100" y="387350"/>
              </a:cubicBezTo>
              <a:cubicBezTo>
                <a:pt x="1058309" y="406292"/>
                <a:pt x="1060780" y="420089"/>
                <a:pt x="1066800" y="438150"/>
              </a:cubicBezTo>
              <a:cubicBezTo>
                <a:pt x="1069659" y="446728"/>
                <a:pt x="1073583" y="454933"/>
                <a:pt x="1076325" y="463550"/>
              </a:cubicBezTo>
              <a:cubicBezTo>
                <a:pt x="1080997" y="478234"/>
                <a:pt x="1083302" y="493693"/>
                <a:pt x="1089025" y="508000"/>
              </a:cubicBezTo>
              <a:cubicBezTo>
                <a:pt x="1111103" y="563196"/>
                <a:pt x="1095991" y="521267"/>
                <a:pt x="1104900" y="552450"/>
              </a:cubicBezTo>
              <a:cubicBezTo>
                <a:pt x="1105819" y="555668"/>
                <a:pt x="1107263" y="558728"/>
                <a:pt x="1108075" y="561975"/>
              </a:cubicBezTo>
              <a:cubicBezTo>
                <a:pt x="1118599" y="604071"/>
                <a:pt x="1103102" y="548778"/>
                <a:pt x="1114425" y="596900"/>
              </a:cubicBezTo>
              <a:cubicBezTo>
                <a:pt x="1117189" y="608646"/>
                <a:pt x="1121276" y="620058"/>
                <a:pt x="1123950" y="631825"/>
              </a:cubicBezTo>
              <a:cubicBezTo>
                <a:pt x="1126572" y="643363"/>
                <a:pt x="1127289" y="655307"/>
                <a:pt x="1130300" y="666750"/>
              </a:cubicBezTo>
              <a:cubicBezTo>
                <a:pt x="1132601" y="675495"/>
                <a:pt x="1137166" y="683507"/>
                <a:pt x="1139825" y="692150"/>
              </a:cubicBezTo>
              <a:cubicBezTo>
                <a:pt x="1141412" y="697308"/>
                <a:pt x="1141580" y="702819"/>
                <a:pt x="1143000" y="708025"/>
              </a:cubicBezTo>
              <a:cubicBezTo>
                <a:pt x="1145485" y="717135"/>
                <a:pt x="1151690" y="733927"/>
                <a:pt x="1155700" y="742950"/>
              </a:cubicBezTo>
              <a:cubicBezTo>
                <a:pt x="1165295" y="764538"/>
                <a:pt x="1158185" y="747298"/>
                <a:pt x="1168400" y="765175"/>
              </a:cubicBezTo>
              <a:cubicBezTo>
                <a:pt x="1170748" y="769284"/>
                <a:pt x="1172633" y="773642"/>
                <a:pt x="1174750" y="777875"/>
              </a:cubicBezTo>
              <a:cubicBezTo>
                <a:pt x="1175368" y="785291"/>
                <a:pt x="1177989" y="825757"/>
                <a:pt x="1181100" y="838200"/>
              </a:cubicBezTo>
              <a:cubicBezTo>
                <a:pt x="1182482" y="843729"/>
                <a:pt x="1185812" y="848616"/>
                <a:pt x="1187450" y="854075"/>
              </a:cubicBezTo>
              <a:cubicBezTo>
                <a:pt x="1189001" y="859244"/>
                <a:pt x="1189567" y="864658"/>
                <a:pt x="1190625" y="869950"/>
              </a:cubicBezTo>
              <a:cubicBezTo>
                <a:pt x="1191683" y="866775"/>
                <a:pt x="1191433" y="862792"/>
                <a:pt x="1193800" y="860425"/>
              </a:cubicBezTo>
              <a:cubicBezTo>
                <a:pt x="1202795" y="851430"/>
                <a:pt x="1237565" y="848304"/>
                <a:pt x="1241425" y="847725"/>
              </a:cubicBezTo>
              <a:cubicBezTo>
                <a:pt x="1265099" y="844174"/>
                <a:pt x="1294827" y="842895"/>
                <a:pt x="1317625" y="841375"/>
              </a:cubicBezTo>
              <a:cubicBezTo>
                <a:pt x="1361017" y="842433"/>
                <a:pt x="1404484" y="841785"/>
                <a:pt x="1447800" y="844550"/>
              </a:cubicBezTo>
              <a:cubicBezTo>
                <a:pt x="1454480" y="844976"/>
                <a:pt x="1460356" y="849277"/>
                <a:pt x="1466850" y="850900"/>
              </a:cubicBezTo>
              <a:cubicBezTo>
                <a:pt x="1486810" y="855890"/>
                <a:pt x="1475230" y="853458"/>
                <a:pt x="1501775" y="857250"/>
              </a:cubicBezTo>
              <a:cubicBezTo>
                <a:pt x="1504950" y="858308"/>
                <a:pt x="1509209" y="863038"/>
                <a:pt x="1511300" y="860425"/>
              </a:cubicBezTo>
              <a:cubicBezTo>
                <a:pt x="1515322" y="855398"/>
                <a:pt x="1513323" y="847709"/>
                <a:pt x="1514475" y="841375"/>
              </a:cubicBezTo>
              <a:cubicBezTo>
                <a:pt x="1515440" y="836066"/>
                <a:pt x="1514973" y="830185"/>
                <a:pt x="1517650" y="825500"/>
              </a:cubicBezTo>
              <a:cubicBezTo>
                <a:pt x="1519543" y="822187"/>
                <a:pt x="1523365" y="819366"/>
                <a:pt x="1527175" y="819150"/>
              </a:cubicBezTo>
              <a:cubicBezTo>
                <a:pt x="1580018" y="816159"/>
                <a:pt x="1633008" y="817033"/>
                <a:pt x="1685925" y="815975"/>
              </a:cubicBezTo>
              <a:cubicBezTo>
                <a:pt x="1692275" y="814917"/>
                <a:pt x="1698662" y="814063"/>
                <a:pt x="1704975" y="812800"/>
              </a:cubicBezTo>
              <a:cubicBezTo>
                <a:pt x="1721518" y="809491"/>
                <a:pt x="1713078" y="810485"/>
                <a:pt x="1727200" y="806450"/>
              </a:cubicBezTo>
              <a:cubicBezTo>
                <a:pt x="1755107" y="798477"/>
                <a:pt x="1726587" y="807713"/>
                <a:pt x="1749425" y="800100"/>
              </a:cubicBezTo>
              <a:cubicBezTo>
                <a:pt x="1773767" y="801158"/>
                <a:pt x="1798147" y="801539"/>
                <a:pt x="1822450" y="803275"/>
              </a:cubicBezTo>
              <a:cubicBezTo>
                <a:pt x="1829506" y="803779"/>
                <a:pt x="1843681" y="807993"/>
                <a:pt x="1851025" y="809625"/>
              </a:cubicBezTo>
              <a:cubicBezTo>
                <a:pt x="1887302" y="817687"/>
                <a:pt x="1848627" y="808232"/>
                <a:pt x="1879600" y="815975"/>
              </a:cubicBezTo>
              <a:cubicBezTo>
                <a:pt x="1883523" y="827745"/>
                <a:pt x="1884272" y="822507"/>
                <a:pt x="1879600" y="831850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234950</xdr:colOff>
      <xdr:row>104</xdr:row>
      <xdr:rowOff>47625</xdr:rowOff>
    </xdr:from>
    <xdr:to>
      <xdr:col>7</xdr:col>
      <xdr:colOff>441628</xdr:colOff>
      <xdr:row>111</xdr:row>
      <xdr:rowOff>158750</xdr:rowOff>
    </xdr:to>
    <xdr:sp macro="" textlink="">
      <xdr:nvSpPr>
        <xdr:cNvPr id="5" name="Freeform 4">
          <a:extLst>
            <a:ext uri="{FF2B5EF4-FFF2-40B4-BE49-F238E27FC236}">
              <a16:creationId xmlns:a16="http://schemas.microsoft.com/office/drawing/2014/main" id="{0D6018E0-D25D-443B-9A00-F92F87406281}"/>
            </a:ext>
          </a:extLst>
        </xdr:cNvPr>
        <xdr:cNvSpPr/>
      </xdr:nvSpPr>
      <xdr:spPr>
        <a:xfrm>
          <a:off x="13518771872" y="21205825"/>
          <a:ext cx="206678" cy="1533525"/>
        </a:xfrm>
        <a:custGeom>
          <a:avLst/>
          <a:gdLst>
            <a:gd name="connsiteX0" fmla="*/ 206678 w 206678"/>
            <a:gd name="connsiteY0" fmla="*/ 1533525 h 1533525"/>
            <a:gd name="connsiteX1" fmla="*/ 203503 w 206678"/>
            <a:gd name="connsiteY1" fmla="*/ 1489075 h 1533525"/>
            <a:gd name="connsiteX2" fmla="*/ 200328 w 206678"/>
            <a:gd name="connsiteY2" fmla="*/ 1438275 h 1533525"/>
            <a:gd name="connsiteX3" fmla="*/ 174928 w 206678"/>
            <a:gd name="connsiteY3" fmla="*/ 1143000 h 1533525"/>
            <a:gd name="connsiteX4" fmla="*/ 146353 w 206678"/>
            <a:gd name="connsiteY4" fmla="*/ 974725 h 1533525"/>
            <a:gd name="connsiteX5" fmla="*/ 140003 w 206678"/>
            <a:gd name="connsiteY5" fmla="*/ 892175 h 1533525"/>
            <a:gd name="connsiteX6" fmla="*/ 130478 w 206678"/>
            <a:gd name="connsiteY6" fmla="*/ 673100 h 1533525"/>
            <a:gd name="connsiteX7" fmla="*/ 127303 w 206678"/>
            <a:gd name="connsiteY7" fmla="*/ 565150 h 1533525"/>
            <a:gd name="connsiteX8" fmla="*/ 120953 w 206678"/>
            <a:gd name="connsiteY8" fmla="*/ 476250 h 1533525"/>
            <a:gd name="connsiteX9" fmla="*/ 98728 w 206678"/>
            <a:gd name="connsiteY9" fmla="*/ 292100 h 1533525"/>
            <a:gd name="connsiteX10" fmla="*/ 89203 w 206678"/>
            <a:gd name="connsiteY10" fmla="*/ 250825 h 1533525"/>
            <a:gd name="connsiteX11" fmla="*/ 86028 w 206678"/>
            <a:gd name="connsiteY11" fmla="*/ 219075 h 1533525"/>
            <a:gd name="connsiteX12" fmla="*/ 82853 w 206678"/>
            <a:gd name="connsiteY12" fmla="*/ 200025 h 1533525"/>
            <a:gd name="connsiteX13" fmla="*/ 89203 w 206678"/>
            <a:gd name="connsiteY13" fmla="*/ 149225 h 1533525"/>
            <a:gd name="connsiteX14" fmla="*/ 105078 w 206678"/>
            <a:gd name="connsiteY14" fmla="*/ 85725 h 1533525"/>
            <a:gd name="connsiteX15" fmla="*/ 114603 w 206678"/>
            <a:gd name="connsiteY15" fmla="*/ 50800 h 1533525"/>
            <a:gd name="connsiteX16" fmla="*/ 120953 w 206678"/>
            <a:gd name="connsiteY16" fmla="*/ 12700 h 1533525"/>
            <a:gd name="connsiteX17" fmla="*/ 124128 w 206678"/>
            <a:gd name="connsiteY17" fmla="*/ 3175 h 1533525"/>
            <a:gd name="connsiteX18" fmla="*/ 127303 w 206678"/>
            <a:gd name="connsiteY18" fmla="*/ 15875 h 1533525"/>
            <a:gd name="connsiteX19" fmla="*/ 130478 w 206678"/>
            <a:gd name="connsiteY19" fmla="*/ 31750 h 1533525"/>
            <a:gd name="connsiteX20" fmla="*/ 143178 w 206678"/>
            <a:gd name="connsiteY20" fmla="*/ 57150 h 1533525"/>
            <a:gd name="connsiteX21" fmla="*/ 146353 w 206678"/>
            <a:gd name="connsiteY21" fmla="*/ 66675 h 1533525"/>
            <a:gd name="connsiteX22" fmla="*/ 152703 w 206678"/>
            <a:gd name="connsiteY22" fmla="*/ 76200 h 1533525"/>
            <a:gd name="connsiteX23" fmla="*/ 165403 w 206678"/>
            <a:gd name="connsiteY23" fmla="*/ 101600 h 1533525"/>
            <a:gd name="connsiteX24" fmla="*/ 155878 w 206678"/>
            <a:gd name="connsiteY24" fmla="*/ 73025 h 1533525"/>
            <a:gd name="connsiteX25" fmla="*/ 149528 w 206678"/>
            <a:gd name="connsiteY25" fmla="*/ 63500 h 1533525"/>
            <a:gd name="connsiteX26" fmla="*/ 136828 w 206678"/>
            <a:gd name="connsiteY26" fmla="*/ 34925 h 1533525"/>
            <a:gd name="connsiteX27" fmla="*/ 130478 w 206678"/>
            <a:gd name="connsiteY27" fmla="*/ 19050 h 1533525"/>
            <a:gd name="connsiteX28" fmla="*/ 117778 w 206678"/>
            <a:gd name="connsiteY28" fmla="*/ 0 h 1533525"/>
            <a:gd name="connsiteX29" fmla="*/ 111428 w 206678"/>
            <a:gd name="connsiteY29" fmla="*/ 31750 h 1533525"/>
            <a:gd name="connsiteX30" fmla="*/ 82853 w 206678"/>
            <a:gd name="connsiteY30" fmla="*/ 69850 h 1533525"/>
            <a:gd name="connsiteX31" fmla="*/ 57453 w 206678"/>
            <a:gd name="connsiteY31" fmla="*/ 95250 h 1533525"/>
            <a:gd name="connsiteX32" fmla="*/ 38403 w 206678"/>
            <a:gd name="connsiteY32" fmla="*/ 117475 h 1533525"/>
            <a:gd name="connsiteX33" fmla="*/ 19353 w 206678"/>
            <a:gd name="connsiteY33" fmla="*/ 133350 h 1533525"/>
            <a:gd name="connsiteX34" fmla="*/ 303 w 206678"/>
            <a:gd name="connsiteY34" fmla="*/ 152400 h 1533525"/>
            <a:gd name="connsiteX35" fmla="*/ 3478 w 206678"/>
            <a:gd name="connsiteY35" fmla="*/ 149225 h 15335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</a:cxnLst>
          <a:rect l="l" t="t" r="r" b="b"/>
          <a:pathLst>
            <a:path w="206678" h="1533525">
              <a:moveTo>
                <a:pt x="206678" y="1533525"/>
              </a:moveTo>
              <a:cubicBezTo>
                <a:pt x="205620" y="1518708"/>
                <a:pt x="204491" y="1503897"/>
                <a:pt x="203503" y="1489075"/>
              </a:cubicBezTo>
              <a:cubicBezTo>
                <a:pt x="202374" y="1472146"/>
                <a:pt x="201724" y="1455184"/>
                <a:pt x="200328" y="1438275"/>
              </a:cubicBezTo>
              <a:cubicBezTo>
                <a:pt x="192199" y="1339822"/>
                <a:pt x="194302" y="1239870"/>
                <a:pt x="174928" y="1143000"/>
              </a:cubicBezTo>
              <a:cubicBezTo>
                <a:pt x="163784" y="1087280"/>
                <a:pt x="152371" y="1031294"/>
                <a:pt x="146353" y="974725"/>
              </a:cubicBezTo>
              <a:cubicBezTo>
                <a:pt x="143434" y="947282"/>
                <a:pt x="142120" y="919692"/>
                <a:pt x="140003" y="892175"/>
              </a:cubicBezTo>
              <a:cubicBezTo>
                <a:pt x="131485" y="611081"/>
                <a:pt x="143339" y="973189"/>
                <a:pt x="130478" y="673100"/>
              </a:cubicBezTo>
              <a:cubicBezTo>
                <a:pt x="128937" y="637134"/>
                <a:pt x="129043" y="601107"/>
                <a:pt x="127303" y="565150"/>
              </a:cubicBezTo>
              <a:cubicBezTo>
                <a:pt x="125867" y="535476"/>
                <a:pt x="123232" y="505871"/>
                <a:pt x="120953" y="476250"/>
              </a:cubicBezTo>
              <a:cubicBezTo>
                <a:pt x="116570" y="419269"/>
                <a:pt x="111195" y="346123"/>
                <a:pt x="98728" y="292100"/>
              </a:cubicBezTo>
              <a:lnTo>
                <a:pt x="89203" y="250825"/>
              </a:lnTo>
              <a:cubicBezTo>
                <a:pt x="88145" y="240242"/>
                <a:pt x="87347" y="229629"/>
                <a:pt x="86028" y="219075"/>
              </a:cubicBezTo>
              <a:cubicBezTo>
                <a:pt x="85230" y="212687"/>
                <a:pt x="82561" y="206456"/>
                <a:pt x="82853" y="200025"/>
              </a:cubicBezTo>
              <a:cubicBezTo>
                <a:pt x="83628" y="182977"/>
                <a:pt x="85946" y="165976"/>
                <a:pt x="89203" y="149225"/>
              </a:cubicBezTo>
              <a:cubicBezTo>
                <a:pt x="93367" y="127808"/>
                <a:pt x="99626" y="106851"/>
                <a:pt x="105078" y="85725"/>
              </a:cubicBezTo>
              <a:cubicBezTo>
                <a:pt x="108093" y="74041"/>
                <a:pt x="112896" y="62746"/>
                <a:pt x="114603" y="50800"/>
              </a:cubicBezTo>
              <a:cubicBezTo>
                <a:pt x="116395" y="38255"/>
                <a:pt x="117858" y="25080"/>
                <a:pt x="120953" y="12700"/>
              </a:cubicBezTo>
              <a:cubicBezTo>
                <a:pt x="121765" y="9453"/>
                <a:pt x="123070" y="6350"/>
                <a:pt x="124128" y="3175"/>
              </a:cubicBezTo>
              <a:cubicBezTo>
                <a:pt x="124128" y="3175"/>
                <a:pt x="126447" y="11596"/>
                <a:pt x="127303" y="15875"/>
              </a:cubicBezTo>
              <a:cubicBezTo>
                <a:pt x="128361" y="21167"/>
                <a:pt x="128927" y="26581"/>
                <a:pt x="130478" y="31750"/>
              </a:cubicBezTo>
              <a:cubicBezTo>
                <a:pt x="138718" y="59216"/>
                <a:pt x="133350" y="37494"/>
                <a:pt x="143178" y="57150"/>
              </a:cubicBezTo>
              <a:cubicBezTo>
                <a:pt x="144675" y="60143"/>
                <a:pt x="144856" y="63682"/>
                <a:pt x="146353" y="66675"/>
              </a:cubicBezTo>
              <a:cubicBezTo>
                <a:pt x="148060" y="70088"/>
                <a:pt x="150876" y="72850"/>
                <a:pt x="152703" y="76200"/>
              </a:cubicBezTo>
              <a:cubicBezTo>
                <a:pt x="157236" y="84510"/>
                <a:pt x="167699" y="110783"/>
                <a:pt x="165403" y="101600"/>
              </a:cubicBezTo>
              <a:cubicBezTo>
                <a:pt x="162371" y="89473"/>
                <a:pt x="161856" y="84981"/>
                <a:pt x="155878" y="73025"/>
              </a:cubicBezTo>
              <a:cubicBezTo>
                <a:pt x="154171" y="69612"/>
                <a:pt x="151645" y="66675"/>
                <a:pt x="149528" y="63500"/>
              </a:cubicBezTo>
              <a:cubicBezTo>
                <a:pt x="143417" y="32946"/>
                <a:pt x="151452" y="61248"/>
                <a:pt x="136828" y="34925"/>
              </a:cubicBezTo>
              <a:cubicBezTo>
                <a:pt x="134060" y="29943"/>
                <a:pt x="133207" y="24053"/>
                <a:pt x="130478" y="19050"/>
              </a:cubicBezTo>
              <a:cubicBezTo>
                <a:pt x="126824" y="12350"/>
                <a:pt x="117778" y="0"/>
                <a:pt x="117778" y="0"/>
              </a:cubicBezTo>
              <a:cubicBezTo>
                <a:pt x="115661" y="10583"/>
                <a:pt x="114841" y="21511"/>
                <a:pt x="111428" y="31750"/>
              </a:cubicBezTo>
              <a:cubicBezTo>
                <a:pt x="107659" y="43056"/>
                <a:pt x="88880" y="63392"/>
                <a:pt x="82853" y="69850"/>
              </a:cubicBezTo>
              <a:cubicBezTo>
                <a:pt x="74683" y="78603"/>
                <a:pt x="65623" y="86497"/>
                <a:pt x="57453" y="95250"/>
              </a:cubicBezTo>
              <a:cubicBezTo>
                <a:pt x="50795" y="102383"/>
                <a:pt x="45302" y="110576"/>
                <a:pt x="38403" y="117475"/>
              </a:cubicBezTo>
              <a:cubicBezTo>
                <a:pt x="32558" y="123320"/>
                <a:pt x="25198" y="127505"/>
                <a:pt x="19353" y="133350"/>
              </a:cubicBezTo>
              <a:cubicBezTo>
                <a:pt x="6100" y="146603"/>
                <a:pt x="15268" y="144917"/>
                <a:pt x="303" y="152400"/>
              </a:cubicBezTo>
              <a:cubicBezTo>
                <a:pt x="-1036" y="153069"/>
                <a:pt x="2420" y="150283"/>
                <a:pt x="3478" y="149225"/>
              </a:cubicBezTo>
            </a:path>
          </a:pathLst>
        </a:custGeom>
        <a:noFill/>
        <a:ln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162559</xdr:colOff>
      <xdr:row>107</xdr:row>
      <xdr:rowOff>109695</xdr:rowOff>
    </xdr:from>
    <xdr:to>
      <xdr:col>7</xdr:col>
      <xdr:colOff>485594</xdr:colOff>
      <xdr:row>109</xdr:row>
      <xdr:rowOff>58974</xdr:rowOff>
    </xdr:to>
    <xdr:sp macro="" textlink="">
      <xdr:nvSpPr>
        <xdr:cNvPr id="6" name="Freeform 5">
          <a:extLst>
            <a:ext uri="{FF2B5EF4-FFF2-40B4-BE49-F238E27FC236}">
              <a16:creationId xmlns:a16="http://schemas.microsoft.com/office/drawing/2014/main" id="{1B265464-18A0-328F-A30B-C7E3B404E66C}"/>
            </a:ext>
          </a:extLst>
        </xdr:cNvPr>
        <xdr:cNvSpPr/>
      </xdr:nvSpPr>
      <xdr:spPr>
        <a:xfrm rot="5767077">
          <a:off x="13519537084" y="21068317"/>
          <a:ext cx="355679" cy="1974035"/>
        </a:xfrm>
        <a:custGeom>
          <a:avLst/>
          <a:gdLst>
            <a:gd name="connsiteX0" fmla="*/ 206678 w 206678"/>
            <a:gd name="connsiteY0" fmla="*/ 1533525 h 1533525"/>
            <a:gd name="connsiteX1" fmla="*/ 203503 w 206678"/>
            <a:gd name="connsiteY1" fmla="*/ 1489075 h 1533525"/>
            <a:gd name="connsiteX2" fmla="*/ 200328 w 206678"/>
            <a:gd name="connsiteY2" fmla="*/ 1438275 h 1533525"/>
            <a:gd name="connsiteX3" fmla="*/ 174928 w 206678"/>
            <a:gd name="connsiteY3" fmla="*/ 1143000 h 1533525"/>
            <a:gd name="connsiteX4" fmla="*/ 146353 w 206678"/>
            <a:gd name="connsiteY4" fmla="*/ 974725 h 1533525"/>
            <a:gd name="connsiteX5" fmla="*/ 140003 w 206678"/>
            <a:gd name="connsiteY5" fmla="*/ 892175 h 1533525"/>
            <a:gd name="connsiteX6" fmla="*/ 130478 w 206678"/>
            <a:gd name="connsiteY6" fmla="*/ 673100 h 1533525"/>
            <a:gd name="connsiteX7" fmla="*/ 127303 w 206678"/>
            <a:gd name="connsiteY7" fmla="*/ 565150 h 1533525"/>
            <a:gd name="connsiteX8" fmla="*/ 120953 w 206678"/>
            <a:gd name="connsiteY8" fmla="*/ 476250 h 1533525"/>
            <a:gd name="connsiteX9" fmla="*/ 98728 w 206678"/>
            <a:gd name="connsiteY9" fmla="*/ 292100 h 1533525"/>
            <a:gd name="connsiteX10" fmla="*/ 89203 w 206678"/>
            <a:gd name="connsiteY10" fmla="*/ 250825 h 1533525"/>
            <a:gd name="connsiteX11" fmla="*/ 86028 w 206678"/>
            <a:gd name="connsiteY11" fmla="*/ 219075 h 1533525"/>
            <a:gd name="connsiteX12" fmla="*/ 82853 w 206678"/>
            <a:gd name="connsiteY12" fmla="*/ 200025 h 1533525"/>
            <a:gd name="connsiteX13" fmla="*/ 89203 w 206678"/>
            <a:gd name="connsiteY13" fmla="*/ 149225 h 1533525"/>
            <a:gd name="connsiteX14" fmla="*/ 105078 w 206678"/>
            <a:gd name="connsiteY14" fmla="*/ 85725 h 1533525"/>
            <a:gd name="connsiteX15" fmla="*/ 114603 w 206678"/>
            <a:gd name="connsiteY15" fmla="*/ 50800 h 1533525"/>
            <a:gd name="connsiteX16" fmla="*/ 120953 w 206678"/>
            <a:gd name="connsiteY16" fmla="*/ 12700 h 1533525"/>
            <a:gd name="connsiteX17" fmla="*/ 124128 w 206678"/>
            <a:gd name="connsiteY17" fmla="*/ 3175 h 1533525"/>
            <a:gd name="connsiteX18" fmla="*/ 127303 w 206678"/>
            <a:gd name="connsiteY18" fmla="*/ 15875 h 1533525"/>
            <a:gd name="connsiteX19" fmla="*/ 130478 w 206678"/>
            <a:gd name="connsiteY19" fmla="*/ 31750 h 1533525"/>
            <a:gd name="connsiteX20" fmla="*/ 143178 w 206678"/>
            <a:gd name="connsiteY20" fmla="*/ 57150 h 1533525"/>
            <a:gd name="connsiteX21" fmla="*/ 146353 w 206678"/>
            <a:gd name="connsiteY21" fmla="*/ 66675 h 1533525"/>
            <a:gd name="connsiteX22" fmla="*/ 152703 w 206678"/>
            <a:gd name="connsiteY22" fmla="*/ 76200 h 1533525"/>
            <a:gd name="connsiteX23" fmla="*/ 165403 w 206678"/>
            <a:gd name="connsiteY23" fmla="*/ 101600 h 1533525"/>
            <a:gd name="connsiteX24" fmla="*/ 155878 w 206678"/>
            <a:gd name="connsiteY24" fmla="*/ 73025 h 1533525"/>
            <a:gd name="connsiteX25" fmla="*/ 149528 w 206678"/>
            <a:gd name="connsiteY25" fmla="*/ 63500 h 1533525"/>
            <a:gd name="connsiteX26" fmla="*/ 136828 w 206678"/>
            <a:gd name="connsiteY26" fmla="*/ 34925 h 1533525"/>
            <a:gd name="connsiteX27" fmla="*/ 130478 w 206678"/>
            <a:gd name="connsiteY27" fmla="*/ 19050 h 1533525"/>
            <a:gd name="connsiteX28" fmla="*/ 117778 w 206678"/>
            <a:gd name="connsiteY28" fmla="*/ 0 h 1533525"/>
            <a:gd name="connsiteX29" fmla="*/ 111428 w 206678"/>
            <a:gd name="connsiteY29" fmla="*/ 31750 h 1533525"/>
            <a:gd name="connsiteX30" fmla="*/ 82853 w 206678"/>
            <a:gd name="connsiteY30" fmla="*/ 69850 h 1533525"/>
            <a:gd name="connsiteX31" fmla="*/ 57453 w 206678"/>
            <a:gd name="connsiteY31" fmla="*/ 95250 h 1533525"/>
            <a:gd name="connsiteX32" fmla="*/ 38403 w 206678"/>
            <a:gd name="connsiteY32" fmla="*/ 117475 h 1533525"/>
            <a:gd name="connsiteX33" fmla="*/ 19353 w 206678"/>
            <a:gd name="connsiteY33" fmla="*/ 133350 h 1533525"/>
            <a:gd name="connsiteX34" fmla="*/ 303 w 206678"/>
            <a:gd name="connsiteY34" fmla="*/ 152400 h 1533525"/>
            <a:gd name="connsiteX35" fmla="*/ 3478 w 206678"/>
            <a:gd name="connsiteY35" fmla="*/ 149225 h 15335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</a:cxnLst>
          <a:rect l="l" t="t" r="r" b="b"/>
          <a:pathLst>
            <a:path w="206678" h="1533525">
              <a:moveTo>
                <a:pt x="206678" y="1533525"/>
              </a:moveTo>
              <a:cubicBezTo>
                <a:pt x="205620" y="1518708"/>
                <a:pt x="204491" y="1503897"/>
                <a:pt x="203503" y="1489075"/>
              </a:cubicBezTo>
              <a:cubicBezTo>
                <a:pt x="202374" y="1472146"/>
                <a:pt x="201724" y="1455184"/>
                <a:pt x="200328" y="1438275"/>
              </a:cubicBezTo>
              <a:cubicBezTo>
                <a:pt x="192199" y="1339822"/>
                <a:pt x="194302" y="1239870"/>
                <a:pt x="174928" y="1143000"/>
              </a:cubicBezTo>
              <a:cubicBezTo>
                <a:pt x="163784" y="1087280"/>
                <a:pt x="152371" y="1031294"/>
                <a:pt x="146353" y="974725"/>
              </a:cubicBezTo>
              <a:cubicBezTo>
                <a:pt x="143434" y="947282"/>
                <a:pt x="142120" y="919692"/>
                <a:pt x="140003" y="892175"/>
              </a:cubicBezTo>
              <a:cubicBezTo>
                <a:pt x="131485" y="611081"/>
                <a:pt x="143339" y="973189"/>
                <a:pt x="130478" y="673100"/>
              </a:cubicBezTo>
              <a:cubicBezTo>
                <a:pt x="128937" y="637134"/>
                <a:pt x="129043" y="601107"/>
                <a:pt x="127303" y="565150"/>
              </a:cubicBezTo>
              <a:cubicBezTo>
                <a:pt x="125867" y="535476"/>
                <a:pt x="123232" y="505871"/>
                <a:pt x="120953" y="476250"/>
              </a:cubicBezTo>
              <a:cubicBezTo>
                <a:pt x="116570" y="419269"/>
                <a:pt x="111195" y="346123"/>
                <a:pt x="98728" y="292100"/>
              </a:cubicBezTo>
              <a:lnTo>
                <a:pt x="89203" y="250825"/>
              </a:lnTo>
              <a:cubicBezTo>
                <a:pt x="88145" y="240242"/>
                <a:pt x="87347" y="229629"/>
                <a:pt x="86028" y="219075"/>
              </a:cubicBezTo>
              <a:cubicBezTo>
                <a:pt x="85230" y="212687"/>
                <a:pt x="82561" y="206456"/>
                <a:pt x="82853" y="200025"/>
              </a:cubicBezTo>
              <a:cubicBezTo>
                <a:pt x="83628" y="182977"/>
                <a:pt x="85946" y="165976"/>
                <a:pt x="89203" y="149225"/>
              </a:cubicBezTo>
              <a:cubicBezTo>
                <a:pt x="93367" y="127808"/>
                <a:pt x="99626" y="106851"/>
                <a:pt x="105078" y="85725"/>
              </a:cubicBezTo>
              <a:cubicBezTo>
                <a:pt x="108093" y="74041"/>
                <a:pt x="112896" y="62746"/>
                <a:pt x="114603" y="50800"/>
              </a:cubicBezTo>
              <a:cubicBezTo>
                <a:pt x="116395" y="38255"/>
                <a:pt x="117858" y="25080"/>
                <a:pt x="120953" y="12700"/>
              </a:cubicBezTo>
              <a:cubicBezTo>
                <a:pt x="121765" y="9453"/>
                <a:pt x="123070" y="6350"/>
                <a:pt x="124128" y="3175"/>
              </a:cubicBezTo>
              <a:cubicBezTo>
                <a:pt x="124128" y="3175"/>
                <a:pt x="126447" y="11596"/>
                <a:pt x="127303" y="15875"/>
              </a:cubicBezTo>
              <a:cubicBezTo>
                <a:pt x="128361" y="21167"/>
                <a:pt x="128927" y="26581"/>
                <a:pt x="130478" y="31750"/>
              </a:cubicBezTo>
              <a:cubicBezTo>
                <a:pt x="138718" y="59216"/>
                <a:pt x="133350" y="37494"/>
                <a:pt x="143178" y="57150"/>
              </a:cubicBezTo>
              <a:cubicBezTo>
                <a:pt x="144675" y="60143"/>
                <a:pt x="144856" y="63682"/>
                <a:pt x="146353" y="66675"/>
              </a:cubicBezTo>
              <a:cubicBezTo>
                <a:pt x="148060" y="70088"/>
                <a:pt x="150876" y="72850"/>
                <a:pt x="152703" y="76200"/>
              </a:cubicBezTo>
              <a:cubicBezTo>
                <a:pt x="157236" y="84510"/>
                <a:pt x="167699" y="110783"/>
                <a:pt x="165403" y="101600"/>
              </a:cubicBezTo>
              <a:cubicBezTo>
                <a:pt x="162371" y="89473"/>
                <a:pt x="161856" y="84981"/>
                <a:pt x="155878" y="73025"/>
              </a:cubicBezTo>
              <a:cubicBezTo>
                <a:pt x="154171" y="69612"/>
                <a:pt x="151645" y="66675"/>
                <a:pt x="149528" y="63500"/>
              </a:cubicBezTo>
              <a:cubicBezTo>
                <a:pt x="143417" y="32946"/>
                <a:pt x="151452" y="61248"/>
                <a:pt x="136828" y="34925"/>
              </a:cubicBezTo>
              <a:cubicBezTo>
                <a:pt x="134060" y="29943"/>
                <a:pt x="133207" y="24053"/>
                <a:pt x="130478" y="19050"/>
              </a:cubicBezTo>
              <a:cubicBezTo>
                <a:pt x="126824" y="12350"/>
                <a:pt x="117778" y="0"/>
                <a:pt x="117778" y="0"/>
              </a:cubicBezTo>
              <a:cubicBezTo>
                <a:pt x="115661" y="10583"/>
                <a:pt x="114841" y="21511"/>
                <a:pt x="111428" y="31750"/>
              </a:cubicBezTo>
              <a:cubicBezTo>
                <a:pt x="107659" y="43056"/>
                <a:pt x="88880" y="63392"/>
                <a:pt x="82853" y="69850"/>
              </a:cubicBezTo>
              <a:cubicBezTo>
                <a:pt x="74683" y="78603"/>
                <a:pt x="65623" y="86497"/>
                <a:pt x="57453" y="95250"/>
              </a:cubicBezTo>
              <a:cubicBezTo>
                <a:pt x="50795" y="102383"/>
                <a:pt x="45302" y="110576"/>
                <a:pt x="38403" y="117475"/>
              </a:cubicBezTo>
              <a:cubicBezTo>
                <a:pt x="32558" y="123320"/>
                <a:pt x="25198" y="127505"/>
                <a:pt x="19353" y="133350"/>
              </a:cubicBezTo>
              <a:cubicBezTo>
                <a:pt x="6100" y="146603"/>
                <a:pt x="15268" y="144917"/>
                <a:pt x="303" y="152400"/>
              </a:cubicBezTo>
              <a:cubicBezTo>
                <a:pt x="-1036" y="153069"/>
                <a:pt x="2420" y="150283"/>
                <a:pt x="3478" y="149225"/>
              </a:cubicBezTo>
            </a:path>
          </a:pathLst>
        </a:custGeom>
        <a:noFill/>
        <a:ln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133351</xdr:colOff>
      <xdr:row>109</xdr:row>
      <xdr:rowOff>98425</xdr:rowOff>
    </xdr:from>
    <xdr:ext cx="8668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624F0D7D-511C-4DC0-C985-D3741A712082}"/>
                </a:ext>
              </a:extLst>
            </xdr:cNvPr>
            <xdr:cNvSpPr txBox="1"/>
          </xdr:nvSpPr>
          <xdr:spPr>
            <a:xfrm>
              <a:off x="13518213256" y="22272625"/>
              <a:ext cx="8668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624F0D7D-511C-4DC0-C985-D3741A712082}"/>
                </a:ext>
              </a:extLst>
            </xdr:cNvPr>
            <xdr:cNvSpPr txBox="1"/>
          </xdr:nvSpPr>
          <xdr:spPr>
            <a:xfrm>
              <a:off x="13518213256" y="22272625"/>
              <a:ext cx="8668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295276</xdr:colOff>
      <xdr:row>107</xdr:row>
      <xdr:rowOff>155575</xdr:rowOff>
    </xdr:from>
    <xdr:ext cx="8668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C36E1F41-9D6C-7D0E-3AC1-E5A54555A8DF}"/>
                </a:ext>
              </a:extLst>
            </xdr:cNvPr>
            <xdr:cNvSpPr txBox="1"/>
          </xdr:nvSpPr>
          <xdr:spPr>
            <a:xfrm>
              <a:off x="13518876831" y="21923375"/>
              <a:ext cx="8668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C36E1F41-9D6C-7D0E-3AC1-E5A54555A8DF}"/>
                </a:ext>
              </a:extLst>
            </xdr:cNvPr>
            <xdr:cNvSpPr txBox="1"/>
          </xdr:nvSpPr>
          <xdr:spPr>
            <a:xfrm>
              <a:off x="13518876831" y="21923375"/>
              <a:ext cx="8668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762001</xdr:colOff>
      <xdr:row>108</xdr:row>
      <xdr:rowOff>114300</xdr:rowOff>
    </xdr:from>
    <xdr:ext cx="8668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4D561E5-F765-E628-866F-66521D8D5C70}"/>
                </a:ext>
              </a:extLst>
            </xdr:cNvPr>
            <xdr:cNvSpPr txBox="1"/>
          </xdr:nvSpPr>
          <xdr:spPr>
            <a:xfrm>
              <a:off x="13519235606" y="22085300"/>
              <a:ext cx="8668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4D561E5-F765-E628-866F-66521D8D5C70}"/>
                </a:ext>
              </a:extLst>
            </xdr:cNvPr>
            <xdr:cNvSpPr txBox="1"/>
          </xdr:nvSpPr>
          <xdr:spPr>
            <a:xfrm>
              <a:off x="13519235606" y="22085300"/>
              <a:ext cx="8668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365126</xdr:colOff>
      <xdr:row>107</xdr:row>
      <xdr:rowOff>171450</xdr:rowOff>
    </xdr:from>
    <xdr:ext cx="8668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C1A13647-3EDB-5652-0164-73D395C1B44E}"/>
                </a:ext>
              </a:extLst>
            </xdr:cNvPr>
            <xdr:cNvSpPr txBox="1"/>
          </xdr:nvSpPr>
          <xdr:spPr>
            <a:xfrm>
              <a:off x="13519632481" y="21939250"/>
              <a:ext cx="8668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C1A13647-3EDB-5652-0164-73D395C1B44E}"/>
                </a:ext>
              </a:extLst>
            </xdr:cNvPr>
            <xdr:cNvSpPr txBox="1"/>
          </xdr:nvSpPr>
          <xdr:spPr>
            <a:xfrm>
              <a:off x="13519632481" y="21939250"/>
              <a:ext cx="8668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679450</xdr:colOff>
      <xdr:row>108</xdr:row>
      <xdr:rowOff>161925</xdr:rowOff>
    </xdr:from>
    <xdr:to>
      <xdr:col>6</xdr:col>
      <xdr:colOff>717550</xdr:colOff>
      <xdr:row>109</xdr:row>
      <xdr:rowOff>171450</xdr:rowOff>
    </xdr:to>
    <xdr:sp macro="" textlink="">
      <xdr:nvSpPr>
        <xdr:cNvPr id="101" name="Freeform 100">
          <a:extLst>
            <a:ext uri="{FF2B5EF4-FFF2-40B4-BE49-F238E27FC236}">
              <a16:creationId xmlns:a16="http://schemas.microsoft.com/office/drawing/2014/main" id="{720442B3-4D9F-4DE1-4AE9-C7638CD4106B}"/>
            </a:ext>
          </a:extLst>
        </xdr:cNvPr>
        <xdr:cNvSpPr/>
      </xdr:nvSpPr>
      <xdr:spPr>
        <a:xfrm>
          <a:off x="13519321450" y="22132925"/>
          <a:ext cx="38100" cy="212725"/>
        </a:xfrm>
        <a:custGeom>
          <a:avLst/>
          <a:gdLst>
            <a:gd name="connsiteX0" fmla="*/ 0 w 38100"/>
            <a:gd name="connsiteY0" fmla="*/ 0 h 212725"/>
            <a:gd name="connsiteX1" fmla="*/ 3175 w 38100"/>
            <a:gd name="connsiteY1" fmla="*/ 88900 h 212725"/>
            <a:gd name="connsiteX2" fmla="*/ 6350 w 38100"/>
            <a:gd name="connsiteY2" fmla="*/ 98425 h 212725"/>
            <a:gd name="connsiteX3" fmla="*/ 9525 w 38100"/>
            <a:gd name="connsiteY3" fmla="*/ 142875 h 212725"/>
            <a:gd name="connsiteX4" fmla="*/ 12700 w 38100"/>
            <a:gd name="connsiteY4" fmla="*/ 152400 h 212725"/>
            <a:gd name="connsiteX5" fmla="*/ 19050 w 38100"/>
            <a:gd name="connsiteY5" fmla="*/ 168275 h 212725"/>
            <a:gd name="connsiteX6" fmla="*/ 28575 w 38100"/>
            <a:gd name="connsiteY6" fmla="*/ 193675 h 212725"/>
            <a:gd name="connsiteX7" fmla="*/ 31750 w 38100"/>
            <a:gd name="connsiteY7" fmla="*/ 203200 h 212725"/>
            <a:gd name="connsiteX8" fmla="*/ 38100 w 38100"/>
            <a:gd name="connsiteY8" fmla="*/ 212725 h 2127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</a:cxnLst>
          <a:rect l="l" t="t" r="r" b="b"/>
          <a:pathLst>
            <a:path w="38100" h="212725">
              <a:moveTo>
                <a:pt x="0" y="0"/>
              </a:moveTo>
              <a:cubicBezTo>
                <a:pt x="1058" y="29633"/>
                <a:pt x="1266" y="59309"/>
                <a:pt x="3175" y="88900"/>
              </a:cubicBezTo>
              <a:cubicBezTo>
                <a:pt x="3390" y="92240"/>
                <a:pt x="5959" y="95101"/>
                <a:pt x="6350" y="98425"/>
              </a:cubicBezTo>
              <a:cubicBezTo>
                <a:pt x="8086" y="113178"/>
                <a:pt x="7789" y="128122"/>
                <a:pt x="9525" y="142875"/>
              </a:cubicBezTo>
              <a:cubicBezTo>
                <a:pt x="9916" y="146199"/>
                <a:pt x="11525" y="149266"/>
                <a:pt x="12700" y="152400"/>
              </a:cubicBezTo>
              <a:cubicBezTo>
                <a:pt x="14701" y="157736"/>
                <a:pt x="17248" y="162868"/>
                <a:pt x="19050" y="168275"/>
              </a:cubicBezTo>
              <a:cubicBezTo>
                <a:pt x="33684" y="212177"/>
                <a:pt x="9089" y="148209"/>
                <a:pt x="28575" y="193675"/>
              </a:cubicBezTo>
              <a:cubicBezTo>
                <a:pt x="29893" y="196751"/>
                <a:pt x="30253" y="200207"/>
                <a:pt x="31750" y="203200"/>
              </a:cubicBezTo>
              <a:cubicBezTo>
                <a:pt x="33457" y="206613"/>
                <a:pt x="38100" y="212725"/>
                <a:pt x="38100" y="212725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0</xdr:colOff>
      <xdr:row>108</xdr:row>
      <xdr:rowOff>165100</xdr:rowOff>
    </xdr:from>
    <xdr:to>
      <xdr:col>6</xdr:col>
      <xdr:colOff>53975</xdr:colOff>
      <xdr:row>110</xdr:row>
      <xdr:rowOff>38100</xdr:rowOff>
    </xdr:to>
    <xdr:sp macro="" textlink="">
      <xdr:nvSpPr>
        <xdr:cNvPr id="102" name="Freeform 101">
          <a:extLst>
            <a:ext uri="{FF2B5EF4-FFF2-40B4-BE49-F238E27FC236}">
              <a16:creationId xmlns:a16="http://schemas.microsoft.com/office/drawing/2014/main" id="{D86D9750-7069-C1C5-A92F-3C16B28BDC5D}"/>
            </a:ext>
          </a:extLst>
        </xdr:cNvPr>
        <xdr:cNvSpPr/>
      </xdr:nvSpPr>
      <xdr:spPr>
        <a:xfrm>
          <a:off x="13519985025" y="22136100"/>
          <a:ext cx="53975" cy="279400"/>
        </a:xfrm>
        <a:custGeom>
          <a:avLst/>
          <a:gdLst>
            <a:gd name="connsiteX0" fmla="*/ 53975 w 53975"/>
            <a:gd name="connsiteY0" fmla="*/ 0 h 279400"/>
            <a:gd name="connsiteX1" fmla="*/ 47625 w 53975"/>
            <a:gd name="connsiteY1" fmla="*/ 158750 h 279400"/>
            <a:gd name="connsiteX2" fmla="*/ 44450 w 53975"/>
            <a:gd name="connsiteY2" fmla="*/ 168275 h 279400"/>
            <a:gd name="connsiteX3" fmla="*/ 41275 w 53975"/>
            <a:gd name="connsiteY3" fmla="*/ 180975 h 279400"/>
            <a:gd name="connsiteX4" fmla="*/ 34925 w 53975"/>
            <a:gd name="connsiteY4" fmla="*/ 219075 h 279400"/>
            <a:gd name="connsiteX5" fmla="*/ 28575 w 53975"/>
            <a:gd name="connsiteY5" fmla="*/ 241300 h 279400"/>
            <a:gd name="connsiteX6" fmla="*/ 19050 w 53975"/>
            <a:gd name="connsiteY6" fmla="*/ 254000 h 279400"/>
            <a:gd name="connsiteX7" fmla="*/ 9525 w 53975"/>
            <a:gd name="connsiteY7" fmla="*/ 273050 h 279400"/>
            <a:gd name="connsiteX8" fmla="*/ 0 w 53975"/>
            <a:gd name="connsiteY8" fmla="*/ 279400 h 2794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</a:cxnLst>
          <a:rect l="l" t="t" r="r" b="b"/>
          <a:pathLst>
            <a:path w="53975" h="279400">
              <a:moveTo>
                <a:pt x="53975" y="0"/>
              </a:moveTo>
              <a:cubicBezTo>
                <a:pt x="53410" y="20324"/>
                <a:pt x="52337" y="118694"/>
                <a:pt x="47625" y="158750"/>
              </a:cubicBezTo>
              <a:cubicBezTo>
                <a:pt x="47234" y="162074"/>
                <a:pt x="45369" y="165057"/>
                <a:pt x="44450" y="168275"/>
              </a:cubicBezTo>
              <a:cubicBezTo>
                <a:pt x="43251" y="172471"/>
                <a:pt x="42056" y="176682"/>
                <a:pt x="41275" y="180975"/>
              </a:cubicBezTo>
              <a:cubicBezTo>
                <a:pt x="34649" y="217420"/>
                <a:pt x="41506" y="189460"/>
                <a:pt x="34925" y="219075"/>
              </a:cubicBezTo>
              <a:cubicBezTo>
                <a:pt x="34363" y="221606"/>
                <a:pt x="30504" y="237925"/>
                <a:pt x="28575" y="241300"/>
              </a:cubicBezTo>
              <a:cubicBezTo>
                <a:pt x="25950" y="245894"/>
                <a:pt x="22225" y="249767"/>
                <a:pt x="19050" y="254000"/>
              </a:cubicBezTo>
              <a:cubicBezTo>
                <a:pt x="16468" y="261747"/>
                <a:pt x="15680" y="266895"/>
                <a:pt x="9525" y="273050"/>
              </a:cubicBezTo>
              <a:cubicBezTo>
                <a:pt x="6827" y="275748"/>
                <a:pt x="0" y="279400"/>
                <a:pt x="0" y="279400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0</xdr:col>
      <xdr:colOff>101601</xdr:colOff>
      <xdr:row>118</xdr:row>
      <xdr:rowOff>127000</xdr:rowOff>
    </xdr:from>
    <xdr:to>
      <xdr:col>1</xdr:col>
      <xdr:colOff>22226</xdr:colOff>
      <xdr:row>128</xdr:row>
      <xdr:rowOff>123825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6D1E7BF2-5EBF-23B5-DC17-095A2D71A1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4144274" y="24130000"/>
          <a:ext cx="746125" cy="2028825"/>
        </a:xfrm>
        <a:prstGeom prst="rect">
          <a:avLst/>
        </a:prstGeom>
      </xdr:spPr>
    </xdr:pic>
    <xdr:clientData/>
  </xdr:twoCellAnchor>
  <xdr:twoCellAnchor>
    <xdr:from>
      <xdr:col>1</xdr:col>
      <xdr:colOff>60325</xdr:colOff>
      <xdr:row>118</xdr:row>
      <xdr:rowOff>158750</xdr:rowOff>
    </xdr:from>
    <xdr:to>
      <xdr:col>7</xdr:col>
      <xdr:colOff>704850</xdr:colOff>
      <xdr:row>122</xdr:row>
      <xdr:rowOff>177800</xdr:rowOff>
    </xdr:to>
    <xdr:sp macro="" textlink="">
      <xdr:nvSpPr>
        <xdr:cNvPr id="104" name="Rounded Rectangular Callout 103">
          <a:extLst>
            <a:ext uri="{FF2B5EF4-FFF2-40B4-BE49-F238E27FC236}">
              <a16:creationId xmlns:a16="http://schemas.microsoft.com/office/drawing/2014/main" id="{2C778ED9-66FE-63E3-F5B4-7962A4EEDF2E}"/>
            </a:ext>
          </a:extLst>
        </xdr:cNvPr>
        <xdr:cNvSpPr/>
      </xdr:nvSpPr>
      <xdr:spPr>
        <a:xfrm>
          <a:off x="13518508650" y="24161750"/>
          <a:ext cx="5597525" cy="831850"/>
        </a:xfrm>
        <a:prstGeom prst="wedgeRoundRectCallout">
          <a:avLst>
            <a:gd name="adj1" fmla="val 54900"/>
            <a:gd name="adj2" fmla="val 11872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סיכום</a:t>
          </a:r>
          <a:r>
            <a:rPr lang="he-IL" sz="1100" baseline="0"/>
            <a:t> ביניים לקניית פרפרוסה:</a:t>
          </a:r>
        </a:p>
        <a:p>
          <a:pPr algn="r" rtl="1"/>
          <a:r>
            <a:rPr lang="he-IL" sz="1100" baseline="0"/>
            <a:t>אסטרטגיה זו יכולה להבנות ע״י קניית ״קצוות״ וכתיבת ״המרכז״ פעמיים. היא יוצרת רווח חיובי (אך מוגבל) בשוק יציב, ומגבילה את ההפסד במצב של שינויים משמעותיים במחיר נכס הבסיס.  </a:t>
          </a:r>
        </a:p>
        <a:p>
          <a:pPr algn="r" rtl="1"/>
          <a:r>
            <a:rPr lang="he-IL" sz="1100" baseline="0"/>
            <a:t>הפרפרוסה לא דומה לפרפר, אבל כך קוראים לה. זה מה יש. נגמר.</a:t>
          </a:r>
          <a:endParaRPr lang="en-US" sz="1100"/>
        </a:p>
      </xdr:txBody>
    </xdr:sp>
    <xdr:clientData/>
  </xdr:twoCellAnchor>
  <xdr:twoCellAnchor>
    <xdr:from>
      <xdr:col>1</xdr:col>
      <xdr:colOff>38100</xdr:colOff>
      <xdr:row>123</xdr:row>
      <xdr:rowOff>15874</xdr:rowOff>
    </xdr:from>
    <xdr:to>
      <xdr:col>7</xdr:col>
      <xdr:colOff>682625</xdr:colOff>
      <xdr:row>128</xdr:row>
      <xdr:rowOff>66675</xdr:rowOff>
    </xdr:to>
    <xdr:sp macro="" textlink="">
      <xdr:nvSpPr>
        <xdr:cNvPr id="105" name="Rounded Rectangular Callout 104">
          <a:extLst>
            <a:ext uri="{FF2B5EF4-FFF2-40B4-BE49-F238E27FC236}">
              <a16:creationId xmlns:a16="http://schemas.microsoft.com/office/drawing/2014/main" id="{8B26499D-2372-2874-5D50-2001E8CDA02A}"/>
            </a:ext>
          </a:extLst>
        </xdr:cNvPr>
        <xdr:cNvSpPr/>
      </xdr:nvSpPr>
      <xdr:spPr>
        <a:xfrm>
          <a:off x="13518530875" y="25034874"/>
          <a:ext cx="5597525" cy="1066801"/>
        </a:xfrm>
        <a:prstGeom prst="wedgeRoundRectCallout">
          <a:avLst>
            <a:gd name="adj1" fmla="val 53312"/>
            <a:gd name="adj2" fmla="val -42326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כמותית:</a:t>
          </a:r>
        </a:p>
        <a:p>
          <a:pPr algn="r" rtl="1"/>
          <a:r>
            <a:rPr lang="he-IL" sz="1100"/>
            <a:t>ההפסד המירבי מפרפרוסה הוא בגובה הפרשי הפרמיה (הפרמיות שמשלמים על הקנייה</a:t>
          </a:r>
          <a:r>
            <a:rPr lang="he-IL" sz="1100" baseline="0"/>
            <a:t> בסימן שלילי, בתוספת הפרמיות שמקבלים בגין הכתיבה בסימן חיובי). </a:t>
          </a:r>
        </a:p>
        <a:p>
          <a:pPr algn="r" rtl="1"/>
          <a:r>
            <a:rPr lang="he-IL" sz="1100" baseline="0"/>
            <a:t>הרווח המירבי מפרפרוסה הוא הרווח שמתקבל עבור </a:t>
          </a:r>
          <a:r>
            <a:rPr lang="en-US" sz="1100" baseline="0"/>
            <a:t>st</a:t>
          </a:r>
          <a:r>
            <a:rPr lang="he-IL" sz="1100" baseline="0"/>
            <a:t> (מחיר שוק) ששווה למחיר המימוש באופציה שכותבים</a:t>
          </a:r>
        </a:p>
        <a:p>
          <a:pPr algn="r" rtl="1"/>
          <a:endParaRPr 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175545</xdr:colOff>
      <xdr:row>220</xdr:row>
      <xdr:rowOff>190156</xdr:rowOff>
    </xdr:from>
    <xdr:to>
      <xdr:col>5</xdr:col>
      <xdr:colOff>628626</xdr:colOff>
      <xdr:row>234</xdr:row>
      <xdr:rowOff>118761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6A1F7D01-CBB0-BD4F-9F28-C3520A8F582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71579</xdr:colOff>
      <xdr:row>175</xdr:row>
      <xdr:rowOff>121785</xdr:rowOff>
    </xdr:from>
    <xdr:to>
      <xdr:col>5</xdr:col>
      <xdr:colOff>526821</xdr:colOff>
      <xdr:row>189</xdr:row>
      <xdr:rowOff>50390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2D48311F-14CD-CC46-AB3F-244878CC175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8</xdr:col>
      <xdr:colOff>412862</xdr:colOff>
      <xdr:row>36</xdr:row>
      <xdr:rowOff>17951</xdr:rowOff>
    </xdr:from>
    <xdr:to>
      <xdr:col>8</xdr:col>
      <xdr:colOff>439788</xdr:colOff>
      <xdr:row>53</xdr:row>
      <xdr:rowOff>89753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FB3B63B6-75BF-084C-B0DC-AF61D27B5332}"/>
            </a:ext>
          </a:extLst>
        </xdr:cNvPr>
        <xdr:cNvCxnSpPr/>
      </xdr:nvCxnSpPr>
      <xdr:spPr>
        <a:xfrm flipV="1">
          <a:off x="13517948212" y="7383951"/>
          <a:ext cx="26926" cy="3526202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376961</xdr:colOff>
      <xdr:row>46</xdr:row>
      <xdr:rowOff>103215</xdr:rowOff>
    </xdr:from>
    <xdr:to>
      <xdr:col>8</xdr:col>
      <xdr:colOff>704559</xdr:colOff>
      <xdr:row>46</xdr:row>
      <xdr:rowOff>103215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5B1CB4D9-1552-BF41-8B30-0E312A82CC90}"/>
            </a:ext>
          </a:extLst>
        </xdr:cNvPr>
        <xdr:cNvCxnSpPr/>
      </xdr:nvCxnSpPr>
      <xdr:spPr>
        <a:xfrm>
          <a:off x="13517683441" y="9501215"/>
          <a:ext cx="3629598" cy="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3</xdr:col>
      <xdr:colOff>587882</xdr:colOff>
      <xdr:row>45</xdr:row>
      <xdr:rowOff>197995</xdr:rowOff>
    </xdr:from>
    <xdr:ext cx="92095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111943D3-61C4-894F-884D-B1FD1AEC008C}"/>
                </a:ext>
              </a:extLst>
            </xdr:cNvPr>
            <xdr:cNvSpPr txBox="1"/>
          </xdr:nvSpPr>
          <xdr:spPr>
            <a:xfrm>
              <a:off x="13521006661" y="9392795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111943D3-61C4-894F-884D-B1FD1AEC008C}"/>
                </a:ext>
              </a:extLst>
            </xdr:cNvPr>
            <xdr:cNvSpPr txBox="1"/>
          </xdr:nvSpPr>
          <xdr:spPr>
            <a:xfrm>
              <a:off x="13521006661" y="9392795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359011</xdr:colOff>
      <xdr:row>39</xdr:row>
      <xdr:rowOff>107702</xdr:rowOff>
    </xdr:from>
    <xdr:to>
      <xdr:col>8</xdr:col>
      <xdr:colOff>484665</xdr:colOff>
      <xdr:row>40</xdr:row>
      <xdr:rowOff>53851</xdr:rowOff>
    </xdr:to>
    <xdr:sp macro="" textlink="">
      <xdr:nvSpPr>
        <xdr:cNvPr id="7" name="Oval 6">
          <a:extLst>
            <a:ext uri="{FF2B5EF4-FFF2-40B4-BE49-F238E27FC236}">
              <a16:creationId xmlns:a16="http://schemas.microsoft.com/office/drawing/2014/main" id="{F0BCDF01-8153-CD4D-91DF-5B3BA82D8EA6}"/>
            </a:ext>
          </a:extLst>
        </xdr:cNvPr>
        <xdr:cNvSpPr/>
      </xdr:nvSpPr>
      <xdr:spPr>
        <a:xfrm>
          <a:off x="13517903335" y="8083302"/>
          <a:ext cx="125654" cy="14934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8</xdr:col>
      <xdr:colOff>534028</xdr:colOff>
      <xdr:row>39</xdr:row>
      <xdr:rowOff>108242</xdr:rowOff>
    </xdr:from>
    <xdr:ext cx="279227" cy="1789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62403C50-8A65-8041-B3B8-53873C3724FA}"/>
                </a:ext>
              </a:extLst>
            </xdr:cNvPr>
            <xdr:cNvSpPr txBox="1"/>
          </xdr:nvSpPr>
          <xdr:spPr>
            <a:xfrm>
              <a:off x="13517574745" y="8083842"/>
              <a:ext cx="279227" cy="1789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62403C50-8A65-8041-B3B8-53873C3724FA}"/>
                </a:ext>
              </a:extLst>
            </xdr:cNvPr>
            <xdr:cNvSpPr txBox="1"/>
          </xdr:nvSpPr>
          <xdr:spPr>
            <a:xfrm>
              <a:off x="13517574745" y="8083842"/>
              <a:ext cx="279227" cy="1789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26926</xdr:colOff>
      <xdr:row>39</xdr:row>
      <xdr:rowOff>179505</xdr:rowOff>
    </xdr:from>
    <xdr:to>
      <xdr:col>8</xdr:col>
      <xdr:colOff>372474</xdr:colOff>
      <xdr:row>39</xdr:row>
      <xdr:rowOff>183993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258A2B99-8C95-5E46-A977-DA214E7A0762}"/>
            </a:ext>
          </a:extLst>
        </xdr:cNvPr>
        <xdr:cNvCxnSpPr/>
      </xdr:nvCxnSpPr>
      <xdr:spPr>
        <a:xfrm>
          <a:off x="13518015526" y="8155105"/>
          <a:ext cx="1171048" cy="4488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6</xdr:col>
      <xdr:colOff>385939</xdr:colOff>
      <xdr:row>46</xdr:row>
      <xdr:rowOff>135168</xdr:rowOff>
    </xdr:from>
    <xdr:ext cx="92095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30834EA9-FB58-D04E-9C27-700B0128BAEF}"/>
                </a:ext>
              </a:extLst>
            </xdr:cNvPr>
            <xdr:cNvSpPr txBox="1"/>
          </xdr:nvSpPr>
          <xdr:spPr>
            <a:xfrm>
              <a:off x="13518732104" y="9533168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30834EA9-FB58-D04E-9C27-700B0128BAEF}"/>
                </a:ext>
              </a:extLst>
            </xdr:cNvPr>
            <xdr:cNvSpPr txBox="1"/>
          </xdr:nvSpPr>
          <xdr:spPr>
            <a:xfrm>
              <a:off x="13518732104" y="9533168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260283</xdr:colOff>
      <xdr:row>39</xdr:row>
      <xdr:rowOff>179504</xdr:rowOff>
    </xdr:from>
    <xdr:to>
      <xdr:col>7</xdr:col>
      <xdr:colOff>35900</xdr:colOff>
      <xdr:row>52</xdr:row>
      <xdr:rowOff>107703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E0A10CC0-460B-8243-A156-C718661F185D}"/>
            </a:ext>
          </a:extLst>
        </xdr:cNvPr>
        <xdr:cNvCxnSpPr/>
      </xdr:nvCxnSpPr>
      <xdr:spPr>
        <a:xfrm>
          <a:off x="13519177600" y="8155104"/>
          <a:ext cx="1426617" cy="256979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8</xdr:col>
      <xdr:colOff>166044</xdr:colOff>
      <xdr:row>52</xdr:row>
      <xdr:rowOff>31952</xdr:rowOff>
    </xdr:from>
    <xdr:ext cx="92095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9A3C8DE4-29FF-8E4A-BA7B-83F58A643052}"/>
                </a:ext>
              </a:extLst>
            </xdr:cNvPr>
            <xdr:cNvSpPr txBox="1"/>
          </xdr:nvSpPr>
          <xdr:spPr>
            <a:xfrm>
              <a:off x="13517300999" y="10649152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9A3C8DE4-29FF-8E4A-BA7B-83F58A643052}"/>
                </a:ext>
              </a:extLst>
            </xdr:cNvPr>
            <xdr:cNvSpPr txBox="1"/>
          </xdr:nvSpPr>
          <xdr:spPr>
            <a:xfrm>
              <a:off x="13517300999" y="10649152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−35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556467</xdr:colOff>
      <xdr:row>52</xdr:row>
      <xdr:rowOff>107703</xdr:rowOff>
    </xdr:from>
    <xdr:to>
      <xdr:col>5</xdr:col>
      <xdr:colOff>264770</xdr:colOff>
      <xdr:row>52</xdr:row>
      <xdr:rowOff>107703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CB42E7D7-220A-BE4A-AC96-216B07CE2561}"/>
            </a:ext>
          </a:extLst>
        </xdr:cNvPr>
        <xdr:cNvCxnSpPr/>
      </xdr:nvCxnSpPr>
      <xdr:spPr>
        <a:xfrm>
          <a:off x="13520599730" y="10724903"/>
          <a:ext cx="1359303" cy="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614808</xdr:colOff>
      <xdr:row>45</xdr:row>
      <xdr:rowOff>103755</xdr:rowOff>
    </xdr:from>
    <xdr:ext cx="92095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05F3AA90-8B3E-F546-9222-C876804DA783}"/>
                </a:ext>
              </a:extLst>
            </xdr:cNvPr>
            <xdr:cNvSpPr txBox="1"/>
          </xdr:nvSpPr>
          <xdr:spPr>
            <a:xfrm>
              <a:off x="13520154235" y="9298555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05F3AA90-8B3E-F546-9222-C876804DA783}"/>
                </a:ext>
              </a:extLst>
            </xdr:cNvPr>
            <xdr:cNvSpPr txBox="1"/>
          </xdr:nvSpPr>
          <xdr:spPr>
            <a:xfrm>
              <a:off x="13520154235" y="9298555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40389</xdr:colOff>
      <xdr:row>39</xdr:row>
      <xdr:rowOff>192968</xdr:rowOff>
    </xdr:from>
    <xdr:to>
      <xdr:col>7</xdr:col>
      <xdr:colOff>40389</xdr:colOff>
      <xdr:row>46</xdr:row>
      <xdr:rowOff>80777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C9D024B1-4F02-0342-9F34-57138E2BD1C5}"/>
            </a:ext>
          </a:extLst>
        </xdr:cNvPr>
        <xdr:cNvCxnSpPr/>
      </xdr:nvCxnSpPr>
      <xdr:spPr>
        <a:xfrm>
          <a:off x="13519173111" y="8168568"/>
          <a:ext cx="0" cy="1310209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798799</xdr:colOff>
      <xdr:row>39</xdr:row>
      <xdr:rowOff>116678</xdr:rowOff>
    </xdr:from>
    <xdr:to>
      <xdr:col>7</xdr:col>
      <xdr:colOff>94240</xdr:colOff>
      <xdr:row>40</xdr:row>
      <xdr:rowOff>58339</xdr:rowOff>
    </xdr:to>
    <xdr:sp macro="" textlink="">
      <xdr:nvSpPr>
        <xdr:cNvPr id="16" name="Oval 15">
          <a:extLst>
            <a:ext uri="{FF2B5EF4-FFF2-40B4-BE49-F238E27FC236}">
              <a16:creationId xmlns:a16="http://schemas.microsoft.com/office/drawing/2014/main" id="{80603F16-D5D0-F144-BE4C-55FDBE0B683E}"/>
            </a:ext>
          </a:extLst>
        </xdr:cNvPr>
        <xdr:cNvSpPr/>
      </xdr:nvSpPr>
      <xdr:spPr>
        <a:xfrm>
          <a:off x="13519119260" y="8092278"/>
          <a:ext cx="120941" cy="1448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9</xdr:col>
      <xdr:colOff>641732</xdr:colOff>
      <xdr:row>37</xdr:row>
      <xdr:rowOff>62826</xdr:rowOff>
    </xdr:from>
    <xdr:to>
      <xdr:col>9</xdr:col>
      <xdr:colOff>767386</xdr:colOff>
      <xdr:row>38</xdr:row>
      <xdr:rowOff>8975</xdr:rowOff>
    </xdr:to>
    <xdr:sp macro="" textlink="">
      <xdr:nvSpPr>
        <xdr:cNvPr id="17" name="Oval 16">
          <a:extLst>
            <a:ext uri="{FF2B5EF4-FFF2-40B4-BE49-F238E27FC236}">
              <a16:creationId xmlns:a16="http://schemas.microsoft.com/office/drawing/2014/main" id="{1C4A8FED-3DBA-5441-8CF1-5D718C34B79C}"/>
            </a:ext>
          </a:extLst>
        </xdr:cNvPr>
        <xdr:cNvSpPr/>
      </xdr:nvSpPr>
      <xdr:spPr>
        <a:xfrm>
          <a:off x="13516795114" y="7632026"/>
          <a:ext cx="125654" cy="14934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9</xdr:col>
      <xdr:colOff>682121</xdr:colOff>
      <xdr:row>51</xdr:row>
      <xdr:rowOff>40388</xdr:rowOff>
    </xdr:from>
    <xdr:to>
      <xdr:col>9</xdr:col>
      <xdr:colOff>803287</xdr:colOff>
      <xdr:row>51</xdr:row>
      <xdr:rowOff>183992</xdr:rowOff>
    </xdr:to>
    <xdr:sp macro="" textlink="">
      <xdr:nvSpPr>
        <xdr:cNvPr id="18" name="Oval 17">
          <a:extLst>
            <a:ext uri="{FF2B5EF4-FFF2-40B4-BE49-F238E27FC236}">
              <a16:creationId xmlns:a16="http://schemas.microsoft.com/office/drawing/2014/main" id="{945E8B66-3E63-8C45-ABDA-7CEF84349B4F}"/>
            </a:ext>
          </a:extLst>
        </xdr:cNvPr>
        <xdr:cNvSpPr/>
      </xdr:nvSpPr>
      <xdr:spPr>
        <a:xfrm>
          <a:off x="13516759213" y="10454388"/>
          <a:ext cx="121166" cy="14360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157067</xdr:colOff>
      <xdr:row>52</xdr:row>
      <xdr:rowOff>58339</xdr:rowOff>
    </xdr:from>
    <xdr:to>
      <xdr:col>5</xdr:col>
      <xdr:colOff>278233</xdr:colOff>
      <xdr:row>53</xdr:row>
      <xdr:rowOff>0</xdr:rowOff>
    </xdr:to>
    <xdr:sp macro="" textlink="">
      <xdr:nvSpPr>
        <xdr:cNvPr id="19" name="Oval 18">
          <a:extLst>
            <a:ext uri="{FF2B5EF4-FFF2-40B4-BE49-F238E27FC236}">
              <a16:creationId xmlns:a16="http://schemas.microsoft.com/office/drawing/2014/main" id="{5CBDB6C2-B15E-864A-9DC5-A0337CD1EFAD}"/>
            </a:ext>
          </a:extLst>
        </xdr:cNvPr>
        <xdr:cNvSpPr/>
      </xdr:nvSpPr>
      <xdr:spPr>
        <a:xfrm>
          <a:off x="13520586267" y="10675539"/>
          <a:ext cx="121166" cy="1448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D</a:t>
          </a:r>
        </a:p>
      </xdr:txBody>
    </xdr:sp>
    <xdr:clientData/>
  </xdr:twoCellAnchor>
  <xdr:twoCellAnchor>
    <xdr:from>
      <xdr:col>5</xdr:col>
      <xdr:colOff>217650</xdr:colOff>
      <xdr:row>46</xdr:row>
      <xdr:rowOff>121167</xdr:rowOff>
    </xdr:from>
    <xdr:to>
      <xdr:col>5</xdr:col>
      <xdr:colOff>228870</xdr:colOff>
      <xdr:row>52</xdr:row>
      <xdr:rowOff>58339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86C88D46-AFE6-5B45-B770-2D3AB3243BB7}"/>
            </a:ext>
          </a:extLst>
        </xdr:cNvPr>
        <xdr:cNvCxnSpPr>
          <a:endCxn id="19" idx="0"/>
        </xdr:cNvCxnSpPr>
      </xdr:nvCxnSpPr>
      <xdr:spPr>
        <a:xfrm>
          <a:off x="13520635630" y="9519167"/>
          <a:ext cx="11220" cy="1156372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9</xdr:col>
      <xdr:colOff>664171</xdr:colOff>
      <xdr:row>57</xdr:row>
      <xdr:rowOff>40388</xdr:rowOff>
    </xdr:from>
    <xdr:to>
      <xdr:col>9</xdr:col>
      <xdr:colOff>785337</xdr:colOff>
      <xdr:row>57</xdr:row>
      <xdr:rowOff>183992</xdr:rowOff>
    </xdr:to>
    <xdr:sp macro="" textlink="">
      <xdr:nvSpPr>
        <xdr:cNvPr id="21" name="Oval 20">
          <a:extLst>
            <a:ext uri="{FF2B5EF4-FFF2-40B4-BE49-F238E27FC236}">
              <a16:creationId xmlns:a16="http://schemas.microsoft.com/office/drawing/2014/main" id="{813AFFA6-6F1E-BE46-A38B-A1D846F76B66}"/>
            </a:ext>
          </a:extLst>
        </xdr:cNvPr>
        <xdr:cNvSpPr/>
      </xdr:nvSpPr>
      <xdr:spPr>
        <a:xfrm>
          <a:off x="13516777163" y="11673588"/>
          <a:ext cx="121166" cy="14360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D</a:t>
          </a:r>
        </a:p>
      </xdr:txBody>
    </xdr:sp>
    <xdr:clientData/>
  </xdr:twoCellAnchor>
  <xdr:twoCellAnchor>
    <xdr:from>
      <xdr:col>6</xdr:col>
      <xdr:colOff>53853</xdr:colOff>
      <xdr:row>46</xdr:row>
      <xdr:rowOff>31412</xdr:rowOff>
    </xdr:from>
    <xdr:to>
      <xdr:col>6</xdr:col>
      <xdr:colOff>175019</xdr:colOff>
      <xdr:row>46</xdr:row>
      <xdr:rowOff>175016</xdr:rowOff>
    </xdr:to>
    <xdr:sp macro="" textlink="">
      <xdr:nvSpPr>
        <xdr:cNvPr id="22" name="Oval 21">
          <a:extLst>
            <a:ext uri="{FF2B5EF4-FFF2-40B4-BE49-F238E27FC236}">
              <a16:creationId xmlns:a16="http://schemas.microsoft.com/office/drawing/2014/main" id="{8FE9F96E-E3AB-3449-8738-560920F66502}"/>
            </a:ext>
          </a:extLst>
        </xdr:cNvPr>
        <xdr:cNvSpPr/>
      </xdr:nvSpPr>
      <xdr:spPr>
        <a:xfrm>
          <a:off x="13519863981" y="9429412"/>
          <a:ext cx="121166" cy="14360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</a:t>
          </a:r>
        </a:p>
      </xdr:txBody>
    </xdr:sp>
    <xdr:clientData/>
  </xdr:twoCellAnchor>
  <xdr:oneCellAnchor>
    <xdr:from>
      <xdr:col>5</xdr:col>
      <xdr:colOff>547493</xdr:colOff>
      <xdr:row>46</xdr:row>
      <xdr:rowOff>157606</xdr:rowOff>
    </xdr:from>
    <xdr:ext cx="92095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CD9FBA5C-0DC9-3F45-8B9B-7C183EF87A88}"/>
                </a:ext>
              </a:extLst>
            </xdr:cNvPr>
            <xdr:cNvSpPr txBox="1"/>
          </xdr:nvSpPr>
          <xdr:spPr>
            <a:xfrm>
              <a:off x="13519396050" y="9555606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CD9FBA5C-0DC9-3F45-8B9B-7C183EF87A88}"/>
                </a:ext>
              </a:extLst>
            </xdr:cNvPr>
            <xdr:cNvSpPr txBox="1"/>
          </xdr:nvSpPr>
          <xdr:spPr>
            <a:xfrm>
              <a:off x="13519396050" y="9555606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115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592368</xdr:colOff>
      <xdr:row>57</xdr:row>
      <xdr:rowOff>26925</xdr:rowOff>
    </xdr:from>
    <xdr:to>
      <xdr:col>5</xdr:col>
      <xdr:colOff>713534</xdr:colOff>
      <xdr:row>57</xdr:row>
      <xdr:rowOff>170529</xdr:rowOff>
    </xdr:to>
    <xdr:sp macro="" textlink="">
      <xdr:nvSpPr>
        <xdr:cNvPr id="24" name="Oval 23">
          <a:extLst>
            <a:ext uri="{FF2B5EF4-FFF2-40B4-BE49-F238E27FC236}">
              <a16:creationId xmlns:a16="http://schemas.microsoft.com/office/drawing/2014/main" id="{36C653ED-EACD-474B-B8C0-521EF78D9EA0}"/>
            </a:ext>
          </a:extLst>
        </xdr:cNvPr>
        <xdr:cNvSpPr/>
      </xdr:nvSpPr>
      <xdr:spPr>
        <a:xfrm>
          <a:off x="13520150966" y="11660125"/>
          <a:ext cx="121166" cy="14360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</a:t>
          </a:r>
        </a:p>
      </xdr:txBody>
    </xdr:sp>
    <xdr:clientData/>
  </xdr:twoCellAnchor>
  <xdr:twoCellAnchor>
    <xdr:from>
      <xdr:col>10</xdr:col>
      <xdr:colOff>541394</xdr:colOff>
      <xdr:row>112</xdr:row>
      <xdr:rowOff>10119</xdr:rowOff>
    </xdr:from>
    <xdr:to>
      <xdr:col>10</xdr:col>
      <xdr:colOff>546454</xdr:colOff>
      <xdr:row>131</xdr:row>
      <xdr:rowOff>30359</xdr:rowOff>
    </xdr:to>
    <xdr:cxnSp macro="">
      <xdr:nvCxnSpPr>
        <xdr:cNvPr id="25" name="Straight Arrow Connector 24">
          <a:extLst>
            <a:ext uri="{FF2B5EF4-FFF2-40B4-BE49-F238E27FC236}">
              <a16:creationId xmlns:a16="http://schemas.microsoft.com/office/drawing/2014/main" id="{BD467ED9-4C64-E644-9A88-70245CFCEAF1}"/>
            </a:ext>
          </a:extLst>
        </xdr:cNvPr>
        <xdr:cNvCxnSpPr/>
      </xdr:nvCxnSpPr>
      <xdr:spPr>
        <a:xfrm flipV="1">
          <a:off x="13516190546" y="16342319"/>
          <a:ext cx="5060" cy="388104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192271</xdr:colOff>
      <xdr:row>123</xdr:row>
      <xdr:rowOff>121435</xdr:rowOff>
    </xdr:from>
    <xdr:to>
      <xdr:col>10</xdr:col>
      <xdr:colOff>612232</xdr:colOff>
      <xdr:row>123</xdr:row>
      <xdr:rowOff>121435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C0DF9A1C-9B2F-714F-BCA1-D3A8485940D8}"/>
            </a:ext>
          </a:extLst>
        </xdr:cNvPr>
        <xdr:cNvCxnSpPr/>
      </xdr:nvCxnSpPr>
      <xdr:spPr>
        <a:xfrm>
          <a:off x="13516124768" y="18688835"/>
          <a:ext cx="3721961" cy="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237808</xdr:colOff>
      <xdr:row>123</xdr:row>
      <xdr:rowOff>20239</xdr:rowOff>
    </xdr:from>
    <xdr:to>
      <xdr:col>8</xdr:col>
      <xdr:colOff>389601</xdr:colOff>
      <xdr:row>124</xdr:row>
      <xdr:rowOff>20240</xdr:rowOff>
    </xdr:to>
    <xdr:sp macro="" textlink="">
      <xdr:nvSpPr>
        <xdr:cNvPr id="27" name="Oval 26">
          <a:extLst>
            <a:ext uri="{FF2B5EF4-FFF2-40B4-BE49-F238E27FC236}">
              <a16:creationId xmlns:a16="http://schemas.microsoft.com/office/drawing/2014/main" id="{C0D955F3-9EB8-E143-A441-A80F5CDF6BD9}"/>
            </a:ext>
          </a:extLst>
        </xdr:cNvPr>
        <xdr:cNvSpPr/>
      </xdr:nvSpPr>
      <xdr:spPr>
        <a:xfrm>
          <a:off x="13517998399" y="18587639"/>
          <a:ext cx="15179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</a:t>
          </a:r>
        </a:p>
      </xdr:txBody>
    </xdr:sp>
    <xdr:clientData/>
  </xdr:twoCellAnchor>
  <xdr:twoCellAnchor>
    <xdr:from>
      <xdr:col>10</xdr:col>
      <xdr:colOff>470558</xdr:colOff>
      <xdr:row>115</xdr:row>
      <xdr:rowOff>197331</xdr:rowOff>
    </xdr:from>
    <xdr:to>
      <xdr:col>10</xdr:col>
      <xdr:colOff>622351</xdr:colOff>
      <xdr:row>116</xdr:row>
      <xdr:rowOff>197331</xdr:rowOff>
    </xdr:to>
    <xdr:sp macro="" textlink="">
      <xdr:nvSpPr>
        <xdr:cNvPr id="28" name="Oval 27">
          <a:extLst>
            <a:ext uri="{FF2B5EF4-FFF2-40B4-BE49-F238E27FC236}">
              <a16:creationId xmlns:a16="http://schemas.microsoft.com/office/drawing/2014/main" id="{C91A7973-346E-E74E-8AFD-7055094874D6}"/>
            </a:ext>
          </a:extLst>
        </xdr:cNvPr>
        <xdr:cNvSpPr/>
      </xdr:nvSpPr>
      <xdr:spPr>
        <a:xfrm>
          <a:off x="13516114649" y="17139131"/>
          <a:ext cx="151793" cy="20320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7</xdr:col>
      <xdr:colOff>430081</xdr:colOff>
      <xdr:row>124</xdr:row>
      <xdr:rowOff>46246</xdr:rowOff>
    </xdr:from>
    <xdr:ext cx="14037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73D0E459-65A7-DC43-B3D1-B4FA9C746895}"/>
                </a:ext>
              </a:extLst>
            </xdr:cNvPr>
            <xdr:cNvSpPr txBox="1"/>
          </xdr:nvSpPr>
          <xdr:spPr>
            <a:xfrm>
              <a:off x="13517379647" y="18816846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73D0E459-65A7-DC43-B3D1-B4FA9C746895}"/>
                </a:ext>
              </a:extLst>
            </xdr:cNvPr>
            <xdr:cNvSpPr txBox="1"/>
          </xdr:nvSpPr>
          <xdr:spPr>
            <a:xfrm>
              <a:off x="13517379647" y="18816846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75898</xdr:colOff>
      <xdr:row>116</xdr:row>
      <xdr:rowOff>26006</xdr:rowOff>
    </xdr:from>
    <xdr:ext cx="14037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0E2319A-F050-044B-8969-0E3CA9D3EB1A}"/>
                </a:ext>
              </a:extLst>
            </xdr:cNvPr>
            <xdr:cNvSpPr txBox="1"/>
          </xdr:nvSpPr>
          <xdr:spPr>
            <a:xfrm>
              <a:off x="13515257330" y="17171006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0E2319A-F050-044B-8969-0E3CA9D3EB1A}"/>
                </a:ext>
              </a:extLst>
            </xdr:cNvPr>
            <xdr:cNvSpPr txBox="1"/>
          </xdr:nvSpPr>
          <xdr:spPr>
            <a:xfrm>
              <a:off x="13515257330" y="17171006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460440</xdr:colOff>
      <xdr:row>124</xdr:row>
      <xdr:rowOff>15888</xdr:rowOff>
    </xdr:from>
    <xdr:ext cx="14037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39C7C825-6DDF-B64A-91D7-900430048F02}"/>
                </a:ext>
              </a:extLst>
            </xdr:cNvPr>
            <xdr:cNvSpPr txBox="1"/>
          </xdr:nvSpPr>
          <xdr:spPr>
            <a:xfrm>
              <a:off x="13516523788" y="18786488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39C7C825-6DDF-B64A-91D7-900430048F02}"/>
                </a:ext>
              </a:extLst>
            </xdr:cNvPr>
            <xdr:cNvSpPr txBox="1"/>
          </xdr:nvSpPr>
          <xdr:spPr>
            <a:xfrm>
              <a:off x="13516523788" y="18786488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70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586934</xdr:colOff>
      <xdr:row>124</xdr:row>
      <xdr:rowOff>10828</xdr:rowOff>
    </xdr:from>
    <xdr:ext cx="14037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81A99AF7-EC11-0949-B084-0F6FF242D0DF}"/>
                </a:ext>
              </a:extLst>
            </xdr:cNvPr>
            <xdr:cNvSpPr txBox="1"/>
          </xdr:nvSpPr>
          <xdr:spPr>
            <a:xfrm>
              <a:off x="13518048294" y="18781428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81A99AF7-EC11-0949-B084-0F6FF242D0DF}"/>
                </a:ext>
              </a:extLst>
            </xdr:cNvPr>
            <xdr:cNvSpPr txBox="1"/>
          </xdr:nvSpPr>
          <xdr:spPr>
            <a:xfrm>
              <a:off x="13518048294" y="18781428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323825</xdr:colOff>
      <xdr:row>116</xdr:row>
      <xdr:rowOff>111314</xdr:rowOff>
    </xdr:from>
    <xdr:to>
      <xdr:col>10</xdr:col>
      <xdr:colOff>475617</xdr:colOff>
      <xdr:row>116</xdr:row>
      <xdr:rowOff>116374</xdr:rowOff>
    </xdr:to>
    <xdr:cxnSp macro="">
      <xdr:nvCxnSpPr>
        <xdr:cNvPr id="33" name="Straight Connector 32">
          <a:extLst>
            <a:ext uri="{FF2B5EF4-FFF2-40B4-BE49-F238E27FC236}">
              <a16:creationId xmlns:a16="http://schemas.microsoft.com/office/drawing/2014/main" id="{8EDCDED3-27EE-6040-9662-DA515D15EE2B}"/>
            </a:ext>
          </a:extLst>
        </xdr:cNvPr>
        <xdr:cNvCxnSpPr/>
      </xdr:nvCxnSpPr>
      <xdr:spPr>
        <a:xfrm>
          <a:off x="13516261383" y="17256314"/>
          <a:ext cx="977292" cy="506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207450</xdr:colOff>
      <xdr:row>116</xdr:row>
      <xdr:rowOff>0</xdr:rowOff>
    </xdr:from>
    <xdr:to>
      <xdr:col>9</xdr:col>
      <xdr:colOff>359243</xdr:colOff>
      <xdr:row>117</xdr:row>
      <xdr:rowOff>1</xdr:rowOff>
    </xdr:to>
    <xdr:sp macro="" textlink="">
      <xdr:nvSpPr>
        <xdr:cNvPr id="34" name="Oval 33">
          <a:extLst>
            <a:ext uri="{FF2B5EF4-FFF2-40B4-BE49-F238E27FC236}">
              <a16:creationId xmlns:a16="http://schemas.microsoft.com/office/drawing/2014/main" id="{29F87D4C-2B47-3344-A9BC-B7177A916E94}"/>
            </a:ext>
          </a:extLst>
        </xdr:cNvPr>
        <xdr:cNvSpPr/>
      </xdr:nvSpPr>
      <xdr:spPr>
        <a:xfrm>
          <a:off x="13517203257" y="17145000"/>
          <a:ext cx="15179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7</xdr:col>
      <xdr:colOff>475617</xdr:colOff>
      <xdr:row>116</xdr:row>
      <xdr:rowOff>126493</xdr:rowOff>
    </xdr:from>
    <xdr:to>
      <xdr:col>9</xdr:col>
      <xdr:colOff>227689</xdr:colOff>
      <xdr:row>129</xdr:row>
      <xdr:rowOff>121434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3C9D9BC2-BBAB-BA43-A674-54636F3D37A1}"/>
            </a:ext>
          </a:extLst>
        </xdr:cNvPr>
        <xdr:cNvCxnSpPr/>
      </xdr:nvCxnSpPr>
      <xdr:spPr>
        <a:xfrm>
          <a:off x="13517334811" y="17271493"/>
          <a:ext cx="1403072" cy="2636541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318765</xdr:colOff>
      <xdr:row>129</xdr:row>
      <xdr:rowOff>116374</xdr:rowOff>
    </xdr:from>
    <xdr:to>
      <xdr:col>7</xdr:col>
      <xdr:colOff>485736</xdr:colOff>
      <xdr:row>129</xdr:row>
      <xdr:rowOff>126494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0CE49753-85B2-6040-9928-F86ED67EB414}"/>
            </a:ext>
          </a:extLst>
        </xdr:cNvPr>
        <xdr:cNvCxnSpPr/>
      </xdr:nvCxnSpPr>
      <xdr:spPr>
        <a:xfrm>
          <a:off x="13518727764" y="19902974"/>
          <a:ext cx="1817971" cy="1012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419960</xdr:colOff>
      <xdr:row>128</xdr:row>
      <xdr:rowOff>182152</xdr:rowOff>
    </xdr:from>
    <xdr:to>
      <xdr:col>7</xdr:col>
      <xdr:colOff>571753</xdr:colOff>
      <xdr:row>129</xdr:row>
      <xdr:rowOff>182153</xdr:rowOff>
    </xdr:to>
    <xdr:sp macro="" textlink="">
      <xdr:nvSpPr>
        <xdr:cNvPr id="37" name="Oval 36">
          <a:extLst>
            <a:ext uri="{FF2B5EF4-FFF2-40B4-BE49-F238E27FC236}">
              <a16:creationId xmlns:a16="http://schemas.microsoft.com/office/drawing/2014/main" id="{5D5F15D4-878D-DD43-B87B-69BA354581E5}"/>
            </a:ext>
          </a:extLst>
        </xdr:cNvPr>
        <xdr:cNvSpPr/>
      </xdr:nvSpPr>
      <xdr:spPr>
        <a:xfrm>
          <a:off x="13518641747" y="19765552"/>
          <a:ext cx="15179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D</a:t>
          </a:r>
        </a:p>
      </xdr:txBody>
    </xdr:sp>
    <xdr:clientData/>
  </xdr:twoCellAnchor>
  <xdr:oneCellAnchor>
    <xdr:from>
      <xdr:col>10</xdr:col>
      <xdr:colOff>20241</xdr:colOff>
      <xdr:row>129</xdr:row>
      <xdr:rowOff>51305</xdr:rowOff>
    </xdr:from>
    <xdr:ext cx="14037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833823F9-062F-3E4D-9348-8D8EA46B5044}"/>
                </a:ext>
              </a:extLst>
            </xdr:cNvPr>
            <xdr:cNvSpPr txBox="1"/>
          </xdr:nvSpPr>
          <xdr:spPr>
            <a:xfrm>
              <a:off x="13515312987" y="19837905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833823F9-062F-3E4D-9348-8D8EA46B5044}"/>
                </a:ext>
              </a:extLst>
            </xdr:cNvPr>
            <xdr:cNvSpPr txBox="1"/>
          </xdr:nvSpPr>
          <xdr:spPr>
            <a:xfrm>
              <a:off x="13515312987" y="19837905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477443</xdr:colOff>
      <xdr:row>73</xdr:row>
      <xdr:rowOff>47744</xdr:rowOff>
    </xdr:from>
    <xdr:to>
      <xdr:col>7</xdr:col>
      <xdr:colOff>490175</xdr:colOff>
      <xdr:row>83</xdr:row>
      <xdr:rowOff>70025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12547EF2-BCBC-F59A-881D-B5A177D37E56}"/>
            </a:ext>
          </a:extLst>
        </xdr:cNvPr>
        <xdr:cNvCxnSpPr/>
      </xdr:nvCxnSpPr>
      <xdr:spPr>
        <a:xfrm flipV="1">
          <a:off x="13500478772" y="14994912"/>
          <a:ext cx="12732" cy="2059374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79574</xdr:colOff>
      <xdr:row>79</xdr:row>
      <xdr:rowOff>178245</xdr:rowOff>
    </xdr:from>
    <xdr:to>
      <xdr:col>7</xdr:col>
      <xdr:colOff>763909</xdr:colOff>
      <xdr:row>79</xdr:row>
      <xdr:rowOff>184611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A1FAFA33-0C6A-7A31-FC66-D773F00023A5}"/>
            </a:ext>
          </a:extLst>
        </xdr:cNvPr>
        <xdr:cNvCxnSpPr/>
      </xdr:nvCxnSpPr>
      <xdr:spPr>
        <a:xfrm>
          <a:off x="13500205038" y="16347669"/>
          <a:ext cx="2333107" cy="6366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693884</xdr:colOff>
      <xdr:row>77</xdr:row>
      <xdr:rowOff>159148</xdr:rowOff>
    </xdr:from>
    <xdr:to>
      <xdr:col>7</xdr:col>
      <xdr:colOff>490175</xdr:colOff>
      <xdr:row>77</xdr:row>
      <xdr:rowOff>159148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418D2E21-C11B-1CD8-E551-A875BB0FD3A6}"/>
            </a:ext>
          </a:extLst>
        </xdr:cNvPr>
        <xdr:cNvCxnSpPr/>
      </xdr:nvCxnSpPr>
      <xdr:spPr>
        <a:xfrm>
          <a:off x="13500478772" y="15921153"/>
          <a:ext cx="620677" cy="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299198</xdr:colOff>
      <xdr:row>77</xdr:row>
      <xdr:rowOff>159148</xdr:rowOff>
    </xdr:from>
    <xdr:to>
      <xdr:col>6</xdr:col>
      <xdr:colOff>700251</xdr:colOff>
      <xdr:row>81</xdr:row>
      <xdr:rowOff>108221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17BDE1F2-A1FB-B94A-8987-11A7592ABAA5}"/>
            </a:ext>
          </a:extLst>
        </xdr:cNvPr>
        <xdr:cNvCxnSpPr/>
      </xdr:nvCxnSpPr>
      <xdr:spPr>
        <a:xfrm>
          <a:off x="13501093082" y="15921153"/>
          <a:ext cx="401053" cy="76391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506090</xdr:colOff>
      <xdr:row>81</xdr:row>
      <xdr:rowOff>105037</xdr:rowOff>
    </xdr:from>
    <xdr:to>
      <xdr:col>6</xdr:col>
      <xdr:colOff>302381</xdr:colOff>
      <xdr:row>81</xdr:row>
      <xdr:rowOff>105037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9A1872AC-228A-B2F7-F17F-D0037F4F1A6F}"/>
            </a:ext>
          </a:extLst>
        </xdr:cNvPr>
        <xdr:cNvCxnSpPr/>
      </xdr:nvCxnSpPr>
      <xdr:spPr>
        <a:xfrm>
          <a:off x="13501490952" y="16681879"/>
          <a:ext cx="620677" cy="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197344</xdr:colOff>
      <xdr:row>77</xdr:row>
      <xdr:rowOff>71171</xdr:rowOff>
    </xdr:from>
    <xdr:ext cx="88286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F6283C42-22F5-01BD-F208-2852B1D1D064}"/>
                </a:ext>
              </a:extLst>
            </xdr:cNvPr>
            <xdr:cNvSpPr txBox="1"/>
          </xdr:nvSpPr>
          <xdr:spPr>
            <a:xfrm>
              <a:off x="13499888739" y="15833176"/>
              <a:ext cx="88286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F6283C42-22F5-01BD-F208-2852B1D1D064}"/>
                </a:ext>
              </a:extLst>
            </xdr:cNvPr>
            <xdr:cNvSpPr txBox="1"/>
          </xdr:nvSpPr>
          <xdr:spPr>
            <a:xfrm>
              <a:off x="13499888739" y="15833176"/>
              <a:ext cx="88286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232356</xdr:colOff>
      <xdr:row>81</xdr:row>
      <xdr:rowOff>61622</xdr:rowOff>
    </xdr:from>
    <xdr:ext cx="88286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87C8FC41-131E-5EAA-C07C-2A48100269EC}"/>
                </a:ext>
              </a:extLst>
            </xdr:cNvPr>
            <xdr:cNvSpPr txBox="1"/>
          </xdr:nvSpPr>
          <xdr:spPr>
            <a:xfrm>
              <a:off x="13499853727" y="16638464"/>
              <a:ext cx="88286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87C8FC41-131E-5EAA-C07C-2A48100269EC}"/>
                </a:ext>
              </a:extLst>
            </xdr:cNvPr>
            <xdr:cNvSpPr txBox="1"/>
          </xdr:nvSpPr>
          <xdr:spPr>
            <a:xfrm>
              <a:off x="13499853727" y="16638464"/>
              <a:ext cx="88286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−30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350126</xdr:colOff>
      <xdr:row>79</xdr:row>
      <xdr:rowOff>198489</xdr:rowOff>
    </xdr:from>
    <xdr:ext cx="88286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4BDA8CA6-649A-A863-7F56-3E9F8AFE106F}"/>
                </a:ext>
              </a:extLst>
            </xdr:cNvPr>
            <xdr:cNvSpPr txBox="1"/>
          </xdr:nvSpPr>
          <xdr:spPr>
            <a:xfrm>
              <a:off x="13500560343" y="16367913"/>
              <a:ext cx="88286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4BDA8CA6-649A-A863-7F56-3E9F8AFE106F}"/>
                </a:ext>
              </a:extLst>
            </xdr:cNvPr>
            <xdr:cNvSpPr txBox="1"/>
          </xdr:nvSpPr>
          <xdr:spPr>
            <a:xfrm>
              <a:off x="13500560343" y="16367913"/>
              <a:ext cx="88286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595214</xdr:colOff>
      <xdr:row>79</xdr:row>
      <xdr:rowOff>185757</xdr:rowOff>
    </xdr:from>
    <xdr:ext cx="88286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A8D4972A-7E64-C7B8-0C35-B2645CF0D14B}"/>
                </a:ext>
              </a:extLst>
            </xdr:cNvPr>
            <xdr:cNvSpPr txBox="1"/>
          </xdr:nvSpPr>
          <xdr:spPr>
            <a:xfrm>
              <a:off x="13501139641" y="16355181"/>
              <a:ext cx="88286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A8D4972A-7E64-C7B8-0C35-B2645CF0D14B}"/>
                </a:ext>
              </a:extLst>
            </xdr:cNvPr>
            <xdr:cNvSpPr txBox="1"/>
          </xdr:nvSpPr>
          <xdr:spPr>
            <a:xfrm>
              <a:off x="13501139641" y="16355181"/>
              <a:ext cx="88286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38195</xdr:colOff>
      <xdr:row>77</xdr:row>
      <xdr:rowOff>89123</xdr:rowOff>
    </xdr:from>
    <xdr:to>
      <xdr:col>6</xdr:col>
      <xdr:colOff>464711</xdr:colOff>
      <xdr:row>79</xdr:row>
      <xdr:rowOff>143233</xdr:rowOff>
    </xdr:to>
    <xdr:cxnSp macro="">
      <xdr:nvCxnSpPr>
        <xdr:cNvPr id="54" name="Straight Arrow Connector 53">
          <a:extLst>
            <a:ext uri="{FF2B5EF4-FFF2-40B4-BE49-F238E27FC236}">
              <a16:creationId xmlns:a16="http://schemas.microsoft.com/office/drawing/2014/main" id="{E7AF4A85-A205-61E2-AC29-843A79DA0378}"/>
            </a:ext>
          </a:extLst>
        </xdr:cNvPr>
        <xdr:cNvCxnSpPr/>
      </xdr:nvCxnSpPr>
      <xdr:spPr>
        <a:xfrm flipV="1">
          <a:off x="13501328622" y="15851128"/>
          <a:ext cx="426516" cy="46152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334212</xdr:colOff>
      <xdr:row>76</xdr:row>
      <xdr:rowOff>128464</xdr:rowOff>
    </xdr:from>
    <xdr:ext cx="88286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D6826F99-6015-3D25-C862-C7137EA6064B}"/>
                </a:ext>
              </a:extLst>
            </xdr:cNvPr>
            <xdr:cNvSpPr txBox="1"/>
          </xdr:nvSpPr>
          <xdr:spPr>
            <a:xfrm>
              <a:off x="13501400643" y="15686760"/>
              <a:ext cx="88286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D6826F99-6015-3D25-C862-C7137EA6064B}"/>
                </a:ext>
              </a:extLst>
            </xdr:cNvPr>
            <xdr:cNvSpPr txBox="1"/>
          </xdr:nvSpPr>
          <xdr:spPr>
            <a:xfrm>
              <a:off x="13501400643" y="15686760"/>
              <a:ext cx="88286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70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473861</xdr:colOff>
      <xdr:row>253</xdr:row>
      <xdr:rowOff>38539</xdr:rowOff>
    </xdr:from>
    <xdr:to>
      <xdr:col>4</xdr:col>
      <xdr:colOff>474554</xdr:colOff>
      <xdr:row>262</xdr:row>
      <xdr:rowOff>117732</xdr:rowOff>
    </xdr:to>
    <xdr:cxnSp macro="">
      <xdr:nvCxnSpPr>
        <xdr:cNvPr id="2" name="Straight Arrow Connector 1">
          <a:extLst>
            <a:ext uri="{FF2B5EF4-FFF2-40B4-BE49-F238E27FC236}">
              <a16:creationId xmlns:a16="http://schemas.microsoft.com/office/drawing/2014/main" id="{73EC5A20-FA87-1842-9D76-0A829D81B701}"/>
            </a:ext>
          </a:extLst>
        </xdr:cNvPr>
        <xdr:cNvCxnSpPr/>
      </xdr:nvCxnSpPr>
      <xdr:spPr>
        <a:xfrm flipV="1">
          <a:off x="13521215446" y="38417939"/>
          <a:ext cx="693" cy="190799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197556</xdr:colOff>
      <xdr:row>258</xdr:row>
      <xdr:rowOff>108185</xdr:rowOff>
    </xdr:from>
    <xdr:to>
      <xdr:col>4</xdr:col>
      <xdr:colOff>658520</xdr:colOff>
      <xdr:row>258</xdr:row>
      <xdr:rowOff>112889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99E19312-1994-E14B-9D5A-726C08A96849}"/>
            </a:ext>
          </a:extLst>
        </xdr:cNvPr>
        <xdr:cNvCxnSpPr/>
      </xdr:nvCxnSpPr>
      <xdr:spPr>
        <a:xfrm>
          <a:off x="13521031480" y="39503585"/>
          <a:ext cx="2111964" cy="470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249296</xdr:colOff>
      <xdr:row>255</xdr:row>
      <xdr:rowOff>14111</xdr:rowOff>
    </xdr:from>
    <xdr:to>
      <xdr:col>4</xdr:col>
      <xdr:colOff>484482</xdr:colOff>
      <xdr:row>261</xdr:row>
      <xdr:rowOff>14112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023A6ADB-C3CB-BF46-AC65-0CF73E624173}"/>
            </a:ext>
          </a:extLst>
        </xdr:cNvPr>
        <xdr:cNvCxnSpPr/>
      </xdr:nvCxnSpPr>
      <xdr:spPr>
        <a:xfrm>
          <a:off x="13521205518" y="38799911"/>
          <a:ext cx="1060686" cy="1219201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112889</xdr:colOff>
      <xdr:row>253</xdr:row>
      <xdr:rowOff>112889</xdr:rowOff>
    </xdr:from>
    <xdr:to>
      <xdr:col>3</xdr:col>
      <xdr:colOff>244592</xdr:colOff>
      <xdr:row>261</xdr:row>
      <xdr:rowOff>18816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DFD2A831-DAAC-154D-AD79-148D264C4592}"/>
            </a:ext>
          </a:extLst>
        </xdr:cNvPr>
        <xdr:cNvCxnSpPr/>
      </xdr:nvCxnSpPr>
      <xdr:spPr>
        <a:xfrm flipH="1">
          <a:off x="13522270908" y="38492289"/>
          <a:ext cx="957203" cy="1531527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352779</xdr:colOff>
      <xdr:row>253</xdr:row>
      <xdr:rowOff>94074</xdr:rowOff>
    </xdr:from>
    <xdr:to>
      <xdr:col>5</xdr:col>
      <xdr:colOff>672630</xdr:colOff>
      <xdr:row>253</xdr:row>
      <xdr:rowOff>103482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FF25AB9E-2591-7844-B730-8853BB23064C}"/>
            </a:ext>
          </a:extLst>
        </xdr:cNvPr>
        <xdr:cNvCxnSpPr/>
      </xdr:nvCxnSpPr>
      <xdr:spPr>
        <a:xfrm>
          <a:off x="13520191870" y="38473474"/>
          <a:ext cx="319851" cy="9408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357483</xdr:colOff>
      <xdr:row>254</xdr:row>
      <xdr:rowOff>112888</xdr:rowOff>
    </xdr:from>
    <xdr:to>
      <xdr:col>5</xdr:col>
      <xdr:colOff>677334</xdr:colOff>
      <xdr:row>254</xdr:row>
      <xdr:rowOff>122296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6362F80E-EE3D-5544-BAF3-4384C4ACE4A1}"/>
            </a:ext>
          </a:extLst>
        </xdr:cNvPr>
        <xdr:cNvCxnSpPr/>
      </xdr:nvCxnSpPr>
      <xdr:spPr>
        <a:xfrm>
          <a:off x="13520187166" y="38695488"/>
          <a:ext cx="319851" cy="940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376297</xdr:colOff>
      <xdr:row>261</xdr:row>
      <xdr:rowOff>14112</xdr:rowOff>
    </xdr:from>
    <xdr:to>
      <xdr:col>4</xdr:col>
      <xdr:colOff>423334</xdr:colOff>
      <xdr:row>261</xdr:row>
      <xdr:rowOff>14112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74919BF8-0077-574B-AC61-FDFFAE600843}"/>
            </a:ext>
          </a:extLst>
        </xdr:cNvPr>
        <xdr:cNvCxnSpPr/>
      </xdr:nvCxnSpPr>
      <xdr:spPr>
        <a:xfrm flipH="1">
          <a:off x="13521266666" y="40019112"/>
          <a:ext cx="872537" cy="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206963</xdr:colOff>
      <xdr:row>260</xdr:row>
      <xdr:rowOff>150519</xdr:rowOff>
    </xdr:from>
    <xdr:to>
      <xdr:col>3</xdr:col>
      <xdr:colOff>291629</xdr:colOff>
      <xdr:row>261</xdr:row>
      <xdr:rowOff>51741</xdr:rowOff>
    </xdr:to>
    <xdr:sp macro="" textlink="">
      <xdr:nvSpPr>
        <xdr:cNvPr id="9" name="Oval 8">
          <a:extLst>
            <a:ext uri="{FF2B5EF4-FFF2-40B4-BE49-F238E27FC236}">
              <a16:creationId xmlns:a16="http://schemas.microsoft.com/office/drawing/2014/main" id="{F852175C-B89A-764A-9CE3-7351A83425BD}"/>
            </a:ext>
          </a:extLst>
        </xdr:cNvPr>
        <xdr:cNvSpPr/>
      </xdr:nvSpPr>
      <xdr:spPr>
        <a:xfrm>
          <a:off x="13522223871" y="39952319"/>
          <a:ext cx="84666" cy="10442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501753</xdr:colOff>
      <xdr:row>260</xdr:row>
      <xdr:rowOff>94987</xdr:rowOff>
    </xdr:from>
    <xdr:to>
      <xdr:col>5</xdr:col>
      <xdr:colOff>54901</xdr:colOff>
      <xdr:row>261</xdr:row>
      <xdr:rowOff>113802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E48A8C8E-8E10-1C4E-B66B-0D8DAF987FBF}"/>
            </a:ext>
          </a:extLst>
        </xdr:cNvPr>
        <xdr:cNvSpPr/>
      </xdr:nvSpPr>
      <xdr:spPr>
        <a:xfrm>
          <a:off x="13520809599" y="39896787"/>
          <a:ext cx="378648" cy="22201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700"/>
            <a:t>70-</a:t>
          </a:r>
          <a:endParaRPr lang="en-US" sz="700"/>
        </a:p>
      </xdr:txBody>
    </xdr:sp>
    <xdr:clientData/>
  </xdr:twoCellAnchor>
  <xdr:twoCellAnchor>
    <xdr:from>
      <xdr:col>3</xdr:col>
      <xdr:colOff>249296</xdr:colOff>
      <xdr:row>258</xdr:row>
      <xdr:rowOff>127000</xdr:rowOff>
    </xdr:from>
    <xdr:to>
      <xdr:col>3</xdr:col>
      <xdr:colOff>263407</xdr:colOff>
      <xdr:row>260</xdr:row>
      <xdr:rowOff>150519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1869D475-926C-DA41-B6E2-F9D0AD56EB9B}"/>
            </a:ext>
          </a:extLst>
        </xdr:cNvPr>
        <xdr:cNvCxnSpPr>
          <a:endCxn id="9" idx="0"/>
        </xdr:cNvCxnSpPr>
      </xdr:nvCxnSpPr>
      <xdr:spPr>
        <a:xfrm>
          <a:off x="13522252093" y="39522400"/>
          <a:ext cx="14111" cy="429919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79964</xdr:colOff>
      <xdr:row>257</xdr:row>
      <xdr:rowOff>65852</xdr:rowOff>
    </xdr:from>
    <xdr:to>
      <xdr:col>3</xdr:col>
      <xdr:colOff>460964</xdr:colOff>
      <xdr:row>258</xdr:row>
      <xdr:rowOff>84666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645E49A7-65E3-0E4A-95FD-E0A1F1F0D17B}"/>
            </a:ext>
          </a:extLst>
        </xdr:cNvPr>
        <xdr:cNvSpPr/>
      </xdr:nvSpPr>
      <xdr:spPr>
        <a:xfrm>
          <a:off x="13522054536" y="39258052"/>
          <a:ext cx="381000" cy="22201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700"/>
            <a:t>70</a:t>
          </a:r>
          <a:endParaRPr lang="en-US" sz="700"/>
        </a:p>
      </xdr:txBody>
    </xdr:sp>
    <xdr:clientData/>
  </xdr:twoCellAnchor>
  <xdr:twoCellAnchor>
    <xdr:from>
      <xdr:col>2</xdr:col>
      <xdr:colOff>583259</xdr:colOff>
      <xdr:row>254</xdr:row>
      <xdr:rowOff>42333</xdr:rowOff>
    </xdr:from>
    <xdr:to>
      <xdr:col>3</xdr:col>
      <xdr:colOff>578556</xdr:colOff>
      <xdr:row>256</xdr:row>
      <xdr:rowOff>150519</xdr:rowOff>
    </xdr:to>
    <xdr:sp macro="" textlink="">
      <xdr:nvSpPr>
        <xdr:cNvPr id="13" name="Rounded Rectangular Callout 12">
          <a:extLst>
            <a:ext uri="{FF2B5EF4-FFF2-40B4-BE49-F238E27FC236}">
              <a16:creationId xmlns:a16="http://schemas.microsoft.com/office/drawing/2014/main" id="{8280DD5E-F513-CF4F-BEC0-2E395AEF94DA}"/>
            </a:ext>
          </a:extLst>
        </xdr:cNvPr>
        <xdr:cNvSpPr/>
      </xdr:nvSpPr>
      <xdr:spPr>
        <a:xfrm>
          <a:off x="13521936944" y="38624933"/>
          <a:ext cx="820797" cy="514586"/>
        </a:xfrm>
        <a:prstGeom prst="wedgeRoundRectCallou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600"/>
            <a:t>ה-</a:t>
          </a:r>
          <a:r>
            <a:rPr lang="en-US" sz="600"/>
            <a:t>x</a:t>
          </a:r>
          <a:r>
            <a:rPr lang="he-IL" sz="600"/>
            <a:t> של שתי האופציות הנרכשות לצורך האוכף</a:t>
          </a:r>
          <a:endParaRPr lang="en-US" sz="600"/>
        </a:p>
      </xdr:txBody>
    </xdr:sp>
    <xdr:clientData/>
  </xdr:twoCellAnchor>
  <xdr:twoCellAnchor>
    <xdr:from>
      <xdr:col>2</xdr:col>
      <xdr:colOff>703630</xdr:colOff>
      <xdr:row>258</xdr:row>
      <xdr:rowOff>47184</xdr:rowOff>
    </xdr:from>
    <xdr:to>
      <xdr:col>2</xdr:col>
      <xdr:colOff>788296</xdr:colOff>
      <xdr:row>258</xdr:row>
      <xdr:rowOff>151740</xdr:rowOff>
    </xdr:to>
    <xdr:sp macro="" textlink="">
      <xdr:nvSpPr>
        <xdr:cNvPr id="14" name="Oval 13">
          <a:extLst>
            <a:ext uri="{FF2B5EF4-FFF2-40B4-BE49-F238E27FC236}">
              <a16:creationId xmlns:a16="http://schemas.microsoft.com/office/drawing/2014/main" id="{A076C8BA-7972-9D49-A6B6-1FD2DF2EEEEA}"/>
            </a:ext>
          </a:extLst>
        </xdr:cNvPr>
        <xdr:cNvSpPr/>
      </xdr:nvSpPr>
      <xdr:spPr>
        <a:xfrm>
          <a:off x="13522552704" y="39442584"/>
          <a:ext cx="84666" cy="104556"/>
        </a:xfrm>
        <a:prstGeom prst="ellipse">
          <a:avLst/>
        </a:prstGeom>
        <a:solidFill>
          <a:schemeClr val="accent6">
            <a:lumMod val="60000"/>
            <a:lumOff val="4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369965</xdr:colOff>
      <xdr:row>258</xdr:row>
      <xdr:rowOff>159185</xdr:rowOff>
    </xdr:from>
    <xdr:to>
      <xdr:col>2</xdr:col>
      <xdr:colOff>750965</xdr:colOff>
      <xdr:row>259</xdr:row>
      <xdr:rowOff>178000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BA04C038-6AC6-AB47-976C-5AE0D7448667}"/>
            </a:ext>
          </a:extLst>
        </xdr:cNvPr>
        <xdr:cNvSpPr/>
      </xdr:nvSpPr>
      <xdr:spPr>
        <a:xfrm>
          <a:off x="13522590035" y="39554585"/>
          <a:ext cx="381000" cy="22201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700"/>
            <a:t>140</a:t>
          </a:r>
          <a:endParaRPr lang="en-US" sz="700"/>
        </a:p>
      </xdr:txBody>
    </xdr:sp>
    <xdr:clientData/>
  </xdr:twoCellAnchor>
  <xdr:twoCellAnchor>
    <xdr:from>
      <xdr:col>3</xdr:col>
      <xdr:colOff>642178</xdr:colOff>
      <xdr:row>258</xdr:row>
      <xdr:rowOff>63571</xdr:rowOff>
    </xdr:from>
    <xdr:to>
      <xdr:col>3</xdr:col>
      <xdr:colOff>726844</xdr:colOff>
      <xdr:row>258</xdr:row>
      <xdr:rowOff>168127</xdr:rowOff>
    </xdr:to>
    <xdr:sp macro="" textlink="">
      <xdr:nvSpPr>
        <xdr:cNvPr id="16" name="Oval 15">
          <a:extLst>
            <a:ext uri="{FF2B5EF4-FFF2-40B4-BE49-F238E27FC236}">
              <a16:creationId xmlns:a16="http://schemas.microsoft.com/office/drawing/2014/main" id="{431DF87D-06B3-8D4D-8044-70B7DE45E7FD}"/>
            </a:ext>
          </a:extLst>
        </xdr:cNvPr>
        <xdr:cNvSpPr/>
      </xdr:nvSpPr>
      <xdr:spPr>
        <a:xfrm>
          <a:off x="13521788656" y="39458971"/>
          <a:ext cx="84666" cy="104556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686280</xdr:colOff>
      <xdr:row>274</xdr:row>
      <xdr:rowOff>106333</xdr:rowOff>
    </xdr:from>
    <xdr:to>
      <xdr:col>3</xdr:col>
      <xdr:colOff>686973</xdr:colOff>
      <xdr:row>283</xdr:row>
      <xdr:rowOff>185526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BC2B97E2-B3A2-B54E-880C-76B2C0A6A547}"/>
            </a:ext>
          </a:extLst>
        </xdr:cNvPr>
        <xdr:cNvCxnSpPr/>
      </xdr:nvCxnSpPr>
      <xdr:spPr>
        <a:xfrm flipV="1">
          <a:off x="13521828527" y="42752933"/>
          <a:ext cx="693" cy="190799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197556</xdr:colOff>
      <xdr:row>279</xdr:row>
      <xdr:rowOff>108185</xdr:rowOff>
    </xdr:from>
    <xdr:to>
      <xdr:col>4</xdr:col>
      <xdr:colOff>658520</xdr:colOff>
      <xdr:row>279</xdr:row>
      <xdr:rowOff>112889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C4D93D88-8453-8B4E-B1A8-B5E51BA77C17}"/>
            </a:ext>
          </a:extLst>
        </xdr:cNvPr>
        <xdr:cNvCxnSpPr/>
      </xdr:nvCxnSpPr>
      <xdr:spPr>
        <a:xfrm>
          <a:off x="13521031480" y="43770785"/>
          <a:ext cx="2111964" cy="470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249296</xdr:colOff>
      <xdr:row>279</xdr:row>
      <xdr:rowOff>152815</xdr:rowOff>
    </xdr:from>
    <xdr:to>
      <xdr:col>3</xdr:col>
      <xdr:colOff>654577</xdr:colOff>
      <xdr:row>282</xdr:row>
      <xdr:rowOff>14112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247EFA29-4C94-7045-A172-E3B43362F547}"/>
            </a:ext>
          </a:extLst>
        </xdr:cNvPr>
        <xdr:cNvCxnSpPr>
          <a:stCxn id="29" idx="5"/>
        </xdr:cNvCxnSpPr>
      </xdr:nvCxnSpPr>
      <xdr:spPr>
        <a:xfrm>
          <a:off x="13521860923" y="43815415"/>
          <a:ext cx="405281" cy="47089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112889</xdr:colOff>
      <xdr:row>274</xdr:row>
      <xdr:rowOff>112889</xdr:rowOff>
    </xdr:from>
    <xdr:to>
      <xdr:col>3</xdr:col>
      <xdr:colOff>244592</xdr:colOff>
      <xdr:row>282</xdr:row>
      <xdr:rowOff>18816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55BD633D-39FF-4741-B50D-27BD63C261CA}"/>
            </a:ext>
          </a:extLst>
        </xdr:cNvPr>
        <xdr:cNvCxnSpPr/>
      </xdr:nvCxnSpPr>
      <xdr:spPr>
        <a:xfrm flipH="1">
          <a:off x="13522270908" y="42759489"/>
          <a:ext cx="957203" cy="1531527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376297</xdr:colOff>
      <xdr:row>282</xdr:row>
      <xdr:rowOff>11743</xdr:rowOff>
    </xdr:from>
    <xdr:to>
      <xdr:col>3</xdr:col>
      <xdr:colOff>745809</xdr:colOff>
      <xdr:row>282</xdr:row>
      <xdr:rowOff>14112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BB1C9535-E530-2040-BF9C-C41D43464BCE}"/>
            </a:ext>
          </a:extLst>
        </xdr:cNvPr>
        <xdr:cNvCxnSpPr>
          <a:endCxn id="23" idx="3"/>
        </xdr:cNvCxnSpPr>
      </xdr:nvCxnSpPr>
      <xdr:spPr>
        <a:xfrm flipH="1" flipV="1">
          <a:off x="13521769691" y="44283943"/>
          <a:ext cx="369512" cy="2369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206963</xdr:colOff>
      <xdr:row>281</xdr:row>
      <xdr:rowOff>150519</xdr:rowOff>
    </xdr:from>
    <xdr:to>
      <xdr:col>3</xdr:col>
      <xdr:colOff>291629</xdr:colOff>
      <xdr:row>282</xdr:row>
      <xdr:rowOff>51741</xdr:rowOff>
    </xdr:to>
    <xdr:sp macro="" textlink="">
      <xdr:nvSpPr>
        <xdr:cNvPr id="22" name="Oval 21">
          <a:extLst>
            <a:ext uri="{FF2B5EF4-FFF2-40B4-BE49-F238E27FC236}">
              <a16:creationId xmlns:a16="http://schemas.microsoft.com/office/drawing/2014/main" id="{0C4C32F8-BB56-D64C-877E-66F08A0F928E}"/>
            </a:ext>
          </a:extLst>
        </xdr:cNvPr>
        <xdr:cNvSpPr/>
      </xdr:nvSpPr>
      <xdr:spPr>
        <a:xfrm>
          <a:off x="13522223871" y="44219519"/>
          <a:ext cx="84666" cy="10442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745809</xdr:colOff>
      <xdr:row>281</xdr:row>
      <xdr:rowOff>104026</xdr:rowOff>
    </xdr:from>
    <xdr:to>
      <xdr:col>4</xdr:col>
      <xdr:colOff>298958</xdr:colOff>
      <xdr:row>282</xdr:row>
      <xdr:rowOff>122841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FC4CCFC0-3B96-0841-AE6A-50ACD810ED07}"/>
            </a:ext>
          </a:extLst>
        </xdr:cNvPr>
        <xdr:cNvSpPr/>
      </xdr:nvSpPr>
      <xdr:spPr>
        <a:xfrm>
          <a:off x="13521391042" y="44173026"/>
          <a:ext cx="378649" cy="22201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700"/>
            <a:t>70-</a:t>
          </a:r>
          <a:endParaRPr lang="en-US" sz="700"/>
        </a:p>
      </xdr:txBody>
    </xdr:sp>
    <xdr:clientData/>
  </xdr:twoCellAnchor>
  <xdr:twoCellAnchor>
    <xdr:from>
      <xdr:col>3</xdr:col>
      <xdr:colOff>249296</xdr:colOff>
      <xdr:row>279</xdr:row>
      <xdr:rowOff>127000</xdr:rowOff>
    </xdr:from>
    <xdr:to>
      <xdr:col>3</xdr:col>
      <xdr:colOff>263407</xdr:colOff>
      <xdr:row>281</xdr:row>
      <xdr:rowOff>150519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EAEE028A-47A2-B64E-A316-3E730B64D3EB}"/>
            </a:ext>
          </a:extLst>
        </xdr:cNvPr>
        <xdr:cNvCxnSpPr>
          <a:endCxn id="22" idx="0"/>
        </xdr:cNvCxnSpPr>
      </xdr:nvCxnSpPr>
      <xdr:spPr>
        <a:xfrm>
          <a:off x="13522252093" y="43789600"/>
          <a:ext cx="14111" cy="429919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79964</xdr:colOff>
      <xdr:row>278</xdr:row>
      <xdr:rowOff>65852</xdr:rowOff>
    </xdr:from>
    <xdr:to>
      <xdr:col>3</xdr:col>
      <xdr:colOff>460964</xdr:colOff>
      <xdr:row>279</xdr:row>
      <xdr:rowOff>84666</xdr:rowOff>
    </xdr:to>
    <xdr:sp macro="" textlink="">
      <xdr:nvSpPr>
        <xdr:cNvPr id="25" name="Rectangle 24">
          <a:extLst>
            <a:ext uri="{FF2B5EF4-FFF2-40B4-BE49-F238E27FC236}">
              <a16:creationId xmlns:a16="http://schemas.microsoft.com/office/drawing/2014/main" id="{F0E7CAD3-B9EE-714D-9A59-B81CC693719A}"/>
            </a:ext>
          </a:extLst>
        </xdr:cNvPr>
        <xdr:cNvSpPr/>
      </xdr:nvSpPr>
      <xdr:spPr>
        <a:xfrm>
          <a:off x="13522054536" y="43525252"/>
          <a:ext cx="381000" cy="22201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700"/>
            <a:t>70</a:t>
          </a:r>
          <a:endParaRPr lang="en-US" sz="700"/>
        </a:p>
      </xdr:txBody>
    </xdr:sp>
    <xdr:clientData/>
  </xdr:twoCellAnchor>
  <xdr:twoCellAnchor>
    <xdr:from>
      <xdr:col>2</xdr:col>
      <xdr:colOff>583259</xdr:colOff>
      <xdr:row>275</xdr:row>
      <xdr:rowOff>42333</xdr:rowOff>
    </xdr:from>
    <xdr:to>
      <xdr:col>3</xdr:col>
      <xdr:colOff>578556</xdr:colOff>
      <xdr:row>277</xdr:row>
      <xdr:rowOff>150519</xdr:rowOff>
    </xdr:to>
    <xdr:sp macro="" textlink="">
      <xdr:nvSpPr>
        <xdr:cNvPr id="26" name="Rounded Rectangular Callout 25">
          <a:extLst>
            <a:ext uri="{FF2B5EF4-FFF2-40B4-BE49-F238E27FC236}">
              <a16:creationId xmlns:a16="http://schemas.microsoft.com/office/drawing/2014/main" id="{2AC4602F-6A9D-5C4F-83AA-540121B832A6}"/>
            </a:ext>
          </a:extLst>
        </xdr:cNvPr>
        <xdr:cNvSpPr/>
      </xdr:nvSpPr>
      <xdr:spPr>
        <a:xfrm>
          <a:off x="13521936944" y="42892133"/>
          <a:ext cx="820797" cy="514586"/>
        </a:xfrm>
        <a:prstGeom prst="wedgeRoundRectCallou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600"/>
            <a:t>ה-</a:t>
          </a:r>
          <a:r>
            <a:rPr lang="en-US" sz="600"/>
            <a:t>x</a:t>
          </a:r>
          <a:r>
            <a:rPr lang="he-IL" sz="600"/>
            <a:t> של שתי האופציות הנרכשות לצורך האוכף</a:t>
          </a:r>
          <a:endParaRPr lang="en-US" sz="600"/>
        </a:p>
      </xdr:txBody>
    </xdr:sp>
    <xdr:clientData/>
  </xdr:twoCellAnchor>
  <xdr:twoCellAnchor>
    <xdr:from>
      <xdr:col>2</xdr:col>
      <xdr:colOff>703630</xdr:colOff>
      <xdr:row>279</xdr:row>
      <xdr:rowOff>47184</xdr:rowOff>
    </xdr:from>
    <xdr:to>
      <xdr:col>2</xdr:col>
      <xdr:colOff>788296</xdr:colOff>
      <xdr:row>279</xdr:row>
      <xdr:rowOff>151740</xdr:rowOff>
    </xdr:to>
    <xdr:sp macro="" textlink="">
      <xdr:nvSpPr>
        <xdr:cNvPr id="27" name="Oval 26">
          <a:extLst>
            <a:ext uri="{FF2B5EF4-FFF2-40B4-BE49-F238E27FC236}">
              <a16:creationId xmlns:a16="http://schemas.microsoft.com/office/drawing/2014/main" id="{705B0F18-B1EB-9449-8ACF-462BAEE555E5}"/>
            </a:ext>
          </a:extLst>
        </xdr:cNvPr>
        <xdr:cNvSpPr/>
      </xdr:nvSpPr>
      <xdr:spPr>
        <a:xfrm>
          <a:off x="13522552704" y="43709784"/>
          <a:ext cx="84666" cy="104556"/>
        </a:xfrm>
        <a:prstGeom prst="ellipse">
          <a:avLst/>
        </a:prstGeom>
        <a:solidFill>
          <a:schemeClr val="accent6">
            <a:lumMod val="60000"/>
            <a:lumOff val="4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369965</xdr:colOff>
      <xdr:row>279</xdr:row>
      <xdr:rowOff>159185</xdr:rowOff>
    </xdr:from>
    <xdr:to>
      <xdr:col>2</xdr:col>
      <xdr:colOff>750965</xdr:colOff>
      <xdr:row>280</xdr:row>
      <xdr:rowOff>178000</xdr:rowOff>
    </xdr:to>
    <xdr:sp macro="" textlink="">
      <xdr:nvSpPr>
        <xdr:cNvPr id="28" name="Rectangle 27">
          <a:extLst>
            <a:ext uri="{FF2B5EF4-FFF2-40B4-BE49-F238E27FC236}">
              <a16:creationId xmlns:a16="http://schemas.microsoft.com/office/drawing/2014/main" id="{4993ECF6-A79A-2847-B0D9-67F80B7EFFD5}"/>
            </a:ext>
          </a:extLst>
        </xdr:cNvPr>
        <xdr:cNvSpPr/>
      </xdr:nvSpPr>
      <xdr:spPr>
        <a:xfrm>
          <a:off x="13522590035" y="43821785"/>
          <a:ext cx="381000" cy="22201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700"/>
            <a:t>140</a:t>
          </a:r>
          <a:endParaRPr lang="en-US" sz="700"/>
        </a:p>
      </xdr:txBody>
    </xdr:sp>
    <xdr:clientData/>
  </xdr:twoCellAnchor>
  <xdr:twoCellAnchor>
    <xdr:from>
      <xdr:col>3</xdr:col>
      <xdr:colOff>642178</xdr:colOff>
      <xdr:row>279</xdr:row>
      <xdr:rowOff>63571</xdr:rowOff>
    </xdr:from>
    <xdr:to>
      <xdr:col>3</xdr:col>
      <xdr:colOff>726844</xdr:colOff>
      <xdr:row>279</xdr:row>
      <xdr:rowOff>168127</xdr:rowOff>
    </xdr:to>
    <xdr:sp macro="" textlink="">
      <xdr:nvSpPr>
        <xdr:cNvPr id="29" name="Oval 28">
          <a:extLst>
            <a:ext uri="{FF2B5EF4-FFF2-40B4-BE49-F238E27FC236}">
              <a16:creationId xmlns:a16="http://schemas.microsoft.com/office/drawing/2014/main" id="{5F2A6A87-9009-1A44-A72E-F08A382D62AC}"/>
            </a:ext>
          </a:extLst>
        </xdr:cNvPr>
        <xdr:cNvSpPr/>
      </xdr:nvSpPr>
      <xdr:spPr>
        <a:xfrm>
          <a:off x="13521788656" y="43726171"/>
          <a:ext cx="84666" cy="104556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721744</xdr:colOff>
      <xdr:row>278</xdr:row>
      <xdr:rowOff>61333</xdr:rowOff>
    </xdr:from>
    <xdr:to>
      <xdr:col>4</xdr:col>
      <xdr:colOff>275663</xdr:colOff>
      <xdr:row>279</xdr:row>
      <xdr:rowOff>80147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A74E4ADD-D596-2547-B51E-6E5B3E704651}"/>
            </a:ext>
          </a:extLst>
        </xdr:cNvPr>
        <xdr:cNvSpPr/>
      </xdr:nvSpPr>
      <xdr:spPr>
        <a:xfrm>
          <a:off x="13521414337" y="43520733"/>
          <a:ext cx="379419" cy="22201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700"/>
            <a:t>0</a:t>
          </a:r>
          <a:endParaRPr lang="en-US" sz="700"/>
        </a:p>
      </xdr:txBody>
    </xdr:sp>
    <xdr:clientData/>
  </xdr:twoCellAnchor>
  <xdr:twoCellAnchor editAs="oneCell">
    <xdr:from>
      <xdr:col>5</xdr:col>
      <xdr:colOff>460998</xdr:colOff>
      <xdr:row>272</xdr:row>
      <xdr:rowOff>108470</xdr:rowOff>
    </xdr:from>
    <xdr:to>
      <xdr:col>7</xdr:col>
      <xdr:colOff>76833</xdr:colOff>
      <xdr:row>278</xdr:row>
      <xdr:rowOff>158185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ABA58BB0-EDB3-AF4F-835E-7156532FE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9136667" y="42348670"/>
          <a:ext cx="1266835" cy="1268914"/>
        </a:xfrm>
        <a:prstGeom prst="rect">
          <a:avLst/>
        </a:prstGeom>
      </xdr:spPr>
    </xdr:pic>
    <xdr:clientData/>
  </xdr:twoCellAnchor>
  <xdr:twoCellAnchor>
    <xdr:from>
      <xdr:col>5</xdr:col>
      <xdr:colOff>122029</xdr:colOff>
      <xdr:row>279</xdr:row>
      <xdr:rowOff>140106</xdr:rowOff>
    </xdr:from>
    <xdr:to>
      <xdr:col>8</xdr:col>
      <xdr:colOff>262135</xdr:colOff>
      <xdr:row>286</xdr:row>
      <xdr:rowOff>112989</xdr:rowOff>
    </xdr:to>
    <xdr:sp macro="" textlink="">
      <xdr:nvSpPr>
        <xdr:cNvPr id="32" name="Rounded Rectangular Callout 31">
          <a:extLst>
            <a:ext uri="{FF2B5EF4-FFF2-40B4-BE49-F238E27FC236}">
              <a16:creationId xmlns:a16="http://schemas.microsoft.com/office/drawing/2014/main" id="{7D41AA25-D965-2943-9A49-40FD855B289E}"/>
            </a:ext>
          </a:extLst>
        </xdr:cNvPr>
        <xdr:cNvSpPr/>
      </xdr:nvSpPr>
      <xdr:spPr>
        <a:xfrm>
          <a:off x="13518125865" y="43802706"/>
          <a:ext cx="2616606" cy="1395283"/>
        </a:xfrm>
        <a:prstGeom prst="wedgeRoundRectCallout">
          <a:avLst>
            <a:gd name="adj1" fmla="val 4587"/>
            <a:gd name="adj2" fmla="val -61289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טיפ</a:t>
          </a:r>
          <a:r>
            <a:rPr lang="he-IL" sz="1100" baseline="0">
              <a:latin typeface="David" panose="020E0502060401010101" pitchFamily="34" charset="-79"/>
              <a:cs typeface="David" panose="020E0502060401010101" pitchFamily="34" charset="-79"/>
            </a:rPr>
            <a:t> נופר: נק׳ החיתוך  עם הציר האופקי בגרף רווח והפסד של אוכף הן: </a:t>
          </a:r>
        </a:p>
        <a:p>
          <a:pPr algn="r" rtl="1"/>
          <a:r>
            <a:rPr lang="he-IL" sz="1100" baseline="0">
              <a:latin typeface="David" panose="020E0502060401010101" pitchFamily="34" charset="-79"/>
              <a:cs typeface="David" panose="020E0502060401010101" pitchFamily="34" charset="-79"/>
            </a:rPr>
            <a:t>א. מחיר המימוש של אופציות המרכיבות האוכף בתוספת ההפסד המירבי (כאן: מחיר מימוש 70, הפסד מירבי 70, 140)</a:t>
          </a:r>
        </a:p>
        <a:p>
          <a:pPr algn="r" rtl="1"/>
          <a:r>
            <a:rPr lang="he-IL" sz="1100" baseline="0">
              <a:latin typeface="David" panose="020E0502060401010101" pitchFamily="34" charset="-79"/>
              <a:cs typeface="David" panose="020E0502060401010101" pitchFamily="34" charset="-79"/>
            </a:rPr>
            <a:t>ב. מחיר המימוש של האופציות המרכיבות האוכף בניכוי ההפסד המירבי (כאן: מחיר מימוש 70 ,הפסד מירבי 70, קרי 0)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3</xdr:col>
      <xdr:colOff>394138</xdr:colOff>
      <xdr:row>11</xdr:row>
      <xdr:rowOff>30656</xdr:rowOff>
    </xdr:from>
    <xdr:to>
      <xdr:col>3</xdr:col>
      <xdr:colOff>402897</xdr:colOff>
      <xdr:row>21</xdr:row>
      <xdr:rowOff>188311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B25BEA6B-504B-C14F-B62A-42A9159DB981}"/>
            </a:ext>
          </a:extLst>
        </xdr:cNvPr>
        <xdr:cNvCxnSpPr/>
      </xdr:nvCxnSpPr>
      <xdr:spPr>
        <a:xfrm flipH="1" flipV="1">
          <a:off x="13522112603" y="2265856"/>
          <a:ext cx="8759" cy="218965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783896</xdr:colOff>
      <xdr:row>17</xdr:row>
      <xdr:rowOff>105104</xdr:rowOff>
    </xdr:from>
    <xdr:to>
      <xdr:col>3</xdr:col>
      <xdr:colOff>635000</xdr:colOff>
      <xdr:row>17</xdr:row>
      <xdr:rowOff>113863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89342412-BA10-B14E-8F9C-0700BF87D4FC}"/>
            </a:ext>
          </a:extLst>
        </xdr:cNvPr>
        <xdr:cNvCxnSpPr/>
      </xdr:nvCxnSpPr>
      <xdr:spPr>
        <a:xfrm>
          <a:off x="13521880500" y="3559504"/>
          <a:ext cx="2454604" cy="87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534276</xdr:colOff>
      <xdr:row>14</xdr:row>
      <xdr:rowOff>91966</xdr:rowOff>
    </xdr:from>
    <xdr:to>
      <xdr:col>3</xdr:col>
      <xdr:colOff>411655</xdr:colOff>
      <xdr:row>14</xdr:row>
      <xdr:rowOff>96345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8FCE18E5-5FA7-2343-9641-9E921EB4327C}"/>
            </a:ext>
          </a:extLst>
        </xdr:cNvPr>
        <xdr:cNvCxnSpPr/>
      </xdr:nvCxnSpPr>
      <xdr:spPr>
        <a:xfrm>
          <a:off x="13522103845" y="2936766"/>
          <a:ext cx="702879" cy="437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630620</xdr:colOff>
      <xdr:row>14</xdr:row>
      <xdr:rowOff>96345</xdr:rowOff>
    </xdr:from>
    <xdr:to>
      <xdr:col>2</xdr:col>
      <xdr:colOff>534276</xdr:colOff>
      <xdr:row>19</xdr:row>
      <xdr:rowOff>175171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9E68D7C4-4F2D-8C46-B2B0-B45C80CEBFC7}"/>
            </a:ext>
          </a:extLst>
        </xdr:cNvPr>
        <xdr:cNvCxnSpPr/>
      </xdr:nvCxnSpPr>
      <xdr:spPr>
        <a:xfrm>
          <a:off x="13522806724" y="2941145"/>
          <a:ext cx="729156" cy="109482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735724</xdr:colOff>
      <xdr:row>19</xdr:row>
      <xdr:rowOff>166413</xdr:rowOff>
    </xdr:from>
    <xdr:to>
      <xdr:col>1</xdr:col>
      <xdr:colOff>630620</xdr:colOff>
      <xdr:row>19</xdr:row>
      <xdr:rowOff>170793</xdr:rowOff>
    </xdr:to>
    <xdr:cxnSp macro="">
      <xdr:nvCxnSpPr>
        <xdr:cNvPr id="37" name="Straight Connector 36">
          <a:extLst>
            <a:ext uri="{FF2B5EF4-FFF2-40B4-BE49-F238E27FC236}">
              <a16:creationId xmlns:a16="http://schemas.microsoft.com/office/drawing/2014/main" id="{658A13B2-AC5E-0E42-8B7A-B14644784D6F}"/>
            </a:ext>
          </a:extLst>
        </xdr:cNvPr>
        <xdr:cNvCxnSpPr/>
      </xdr:nvCxnSpPr>
      <xdr:spPr>
        <a:xfrm flipV="1">
          <a:off x="13523535880" y="4027213"/>
          <a:ext cx="847396" cy="438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429172</xdr:colOff>
      <xdr:row>10</xdr:row>
      <xdr:rowOff>30656</xdr:rowOff>
    </xdr:from>
    <xdr:to>
      <xdr:col>7</xdr:col>
      <xdr:colOff>437931</xdr:colOff>
      <xdr:row>22</xdr:row>
      <xdr:rowOff>39414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C796223F-F2AA-874D-8B30-FC34F56AF60A}"/>
            </a:ext>
          </a:extLst>
        </xdr:cNvPr>
        <xdr:cNvCxnSpPr/>
      </xdr:nvCxnSpPr>
      <xdr:spPr>
        <a:xfrm flipH="1" flipV="1">
          <a:off x="13518775569" y="2062656"/>
          <a:ext cx="8759" cy="244715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656895</xdr:colOff>
      <xdr:row>17</xdr:row>
      <xdr:rowOff>118242</xdr:rowOff>
    </xdr:from>
    <xdr:to>
      <xdr:col>7</xdr:col>
      <xdr:colOff>634999</xdr:colOff>
      <xdr:row>17</xdr:row>
      <xdr:rowOff>127001</xdr:rowOff>
    </xdr:to>
    <xdr:cxnSp macro="">
      <xdr:nvCxnSpPr>
        <xdr:cNvPr id="39" name="Straight Arrow Connector 38">
          <a:extLst>
            <a:ext uri="{FF2B5EF4-FFF2-40B4-BE49-F238E27FC236}">
              <a16:creationId xmlns:a16="http://schemas.microsoft.com/office/drawing/2014/main" id="{B7C81EA2-D8BE-1343-A300-C43F6F703859}"/>
            </a:ext>
          </a:extLst>
        </xdr:cNvPr>
        <xdr:cNvCxnSpPr/>
      </xdr:nvCxnSpPr>
      <xdr:spPr>
        <a:xfrm>
          <a:off x="13518578501" y="3572642"/>
          <a:ext cx="2454604" cy="87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564931</xdr:colOff>
      <xdr:row>19</xdr:row>
      <xdr:rowOff>109483</xdr:rowOff>
    </xdr:from>
    <xdr:to>
      <xdr:col>7</xdr:col>
      <xdr:colOff>442310</xdr:colOff>
      <xdr:row>19</xdr:row>
      <xdr:rowOff>113862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46110ACE-B61D-7247-BF3E-36CE3C693FAA}"/>
            </a:ext>
          </a:extLst>
        </xdr:cNvPr>
        <xdr:cNvCxnSpPr/>
      </xdr:nvCxnSpPr>
      <xdr:spPr>
        <a:xfrm>
          <a:off x="13518771190" y="3970283"/>
          <a:ext cx="702879" cy="437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8758</xdr:colOff>
      <xdr:row>13</xdr:row>
      <xdr:rowOff>135758</xdr:rowOff>
    </xdr:from>
    <xdr:to>
      <xdr:col>6</xdr:col>
      <xdr:colOff>573689</xdr:colOff>
      <xdr:row>19</xdr:row>
      <xdr:rowOff>126998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E323B08C-4F10-5241-A62B-57BDB76E3560}"/>
            </a:ext>
          </a:extLst>
        </xdr:cNvPr>
        <xdr:cNvCxnSpPr/>
      </xdr:nvCxnSpPr>
      <xdr:spPr>
        <a:xfrm flipH="1">
          <a:off x="13519465311" y="2777358"/>
          <a:ext cx="564931" cy="121044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140138</xdr:colOff>
      <xdr:row>13</xdr:row>
      <xdr:rowOff>140138</xdr:rowOff>
    </xdr:from>
    <xdr:to>
      <xdr:col>6</xdr:col>
      <xdr:colOff>17517</xdr:colOff>
      <xdr:row>13</xdr:row>
      <xdr:rowOff>144517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2770260F-B883-DB4C-95FB-782E861E4BBE}"/>
            </a:ext>
          </a:extLst>
        </xdr:cNvPr>
        <xdr:cNvCxnSpPr/>
      </xdr:nvCxnSpPr>
      <xdr:spPr>
        <a:xfrm>
          <a:off x="13520021483" y="2781738"/>
          <a:ext cx="702879" cy="437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429172</xdr:colOff>
      <xdr:row>61</xdr:row>
      <xdr:rowOff>30656</xdr:rowOff>
    </xdr:from>
    <xdr:to>
      <xdr:col>9</xdr:col>
      <xdr:colOff>437931</xdr:colOff>
      <xdr:row>73</xdr:row>
      <xdr:rowOff>39414</xdr:rowOff>
    </xdr:to>
    <xdr:cxnSp macro="">
      <xdr:nvCxnSpPr>
        <xdr:cNvPr id="43" name="Straight Arrow Connector 42">
          <a:extLst>
            <a:ext uri="{FF2B5EF4-FFF2-40B4-BE49-F238E27FC236}">
              <a16:creationId xmlns:a16="http://schemas.microsoft.com/office/drawing/2014/main" id="{64D2CFCC-EBE7-434B-BD68-595724454516}"/>
            </a:ext>
          </a:extLst>
        </xdr:cNvPr>
        <xdr:cNvCxnSpPr/>
      </xdr:nvCxnSpPr>
      <xdr:spPr>
        <a:xfrm flipH="1" flipV="1">
          <a:off x="13517124569" y="12451256"/>
          <a:ext cx="8759" cy="245985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656895</xdr:colOff>
      <xdr:row>68</xdr:row>
      <xdr:rowOff>118242</xdr:rowOff>
    </xdr:from>
    <xdr:to>
      <xdr:col>9</xdr:col>
      <xdr:colOff>634999</xdr:colOff>
      <xdr:row>68</xdr:row>
      <xdr:rowOff>127001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E6465586-DB57-A94E-84D9-3FF0997D017E}"/>
            </a:ext>
          </a:extLst>
        </xdr:cNvPr>
        <xdr:cNvCxnSpPr/>
      </xdr:nvCxnSpPr>
      <xdr:spPr>
        <a:xfrm>
          <a:off x="13516927501" y="13973942"/>
          <a:ext cx="2454604" cy="87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564931</xdr:colOff>
      <xdr:row>70</xdr:row>
      <xdr:rowOff>109483</xdr:rowOff>
    </xdr:from>
    <xdr:to>
      <xdr:col>9</xdr:col>
      <xdr:colOff>442310</xdr:colOff>
      <xdr:row>70</xdr:row>
      <xdr:rowOff>113862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9234D2C5-7E14-864E-8433-48316100ABB1}"/>
            </a:ext>
          </a:extLst>
        </xdr:cNvPr>
        <xdr:cNvCxnSpPr/>
      </xdr:nvCxnSpPr>
      <xdr:spPr>
        <a:xfrm>
          <a:off x="13517120190" y="14371583"/>
          <a:ext cx="702879" cy="437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516758</xdr:colOff>
      <xdr:row>65</xdr:row>
      <xdr:rowOff>131379</xdr:rowOff>
    </xdr:from>
    <xdr:to>
      <xdr:col>8</xdr:col>
      <xdr:colOff>573689</xdr:colOff>
      <xdr:row>70</xdr:row>
      <xdr:rowOff>126998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A0F315D6-2E99-3A4F-813F-1822258874B6}"/>
            </a:ext>
          </a:extLst>
        </xdr:cNvPr>
        <xdr:cNvCxnSpPr/>
      </xdr:nvCxnSpPr>
      <xdr:spPr>
        <a:xfrm flipH="1">
          <a:off x="13517814311" y="13364779"/>
          <a:ext cx="882431" cy="102431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652517</xdr:colOff>
      <xdr:row>65</xdr:row>
      <xdr:rowOff>131379</xdr:rowOff>
    </xdr:from>
    <xdr:to>
      <xdr:col>7</xdr:col>
      <xdr:colOff>529895</xdr:colOff>
      <xdr:row>65</xdr:row>
      <xdr:rowOff>135758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6BC9F4B5-A3E4-C24C-B843-73C7BAD59210}"/>
            </a:ext>
          </a:extLst>
        </xdr:cNvPr>
        <xdr:cNvCxnSpPr/>
      </xdr:nvCxnSpPr>
      <xdr:spPr>
        <a:xfrm>
          <a:off x="13518683605" y="13364779"/>
          <a:ext cx="702878" cy="437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8</xdr:col>
      <xdr:colOff>683173</xdr:colOff>
      <xdr:row>70</xdr:row>
      <xdr:rowOff>20145</xdr:rowOff>
    </xdr:from>
    <xdr:ext cx="148185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CCC11AB8-F4A7-C94B-BE72-97F1F4371A4C}"/>
                </a:ext>
              </a:extLst>
            </xdr:cNvPr>
            <xdr:cNvSpPr txBox="1"/>
          </xdr:nvSpPr>
          <xdr:spPr>
            <a:xfrm>
              <a:off x="13516222969" y="14282245"/>
              <a:ext cx="148185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CCC11AB8-F4A7-C94B-BE72-97F1F4371A4C}"/>
                </a:ext>
              </a:extLst>
            </xdr:cNvPr>
            <xdr:cNvSpPr txBox="1"/>
          </xdr:nvSpPr>
          <xdr:spPr>
            <a:xfrm>
              <a:off x="13516222969" y="14282245"/>
              <a:ext cx="148185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801413</xdr:colOff>
      <xdr:row>70</xdr:row>
      <xdr:rowOff>17517</xdr:rowOff>
    </xdr:from>
    <xdr:to>
      <xdr:col>10</xdr:col>
      <xdr:colOff>144516</xdr:colOff>
      <xdr:row>71</xdr:row>
      <xdr:rowOff>17518</xdr:rowOff>
    </xdr:to>
    <xdr:sp macro="" textlink="">
      <xdr:nvSpPr>
        <xdr:cNvPr id="49" name="Oval 48">
          <a:extLst>
            <a:ext uri="{FF2B5EF4-FFF2-40B4-BE49-F238E27FC236}">
              <a16:creationId xmlns:a16="http://schemas.microsoft.com/office/drawing/2014/main" id="{731B0CAC-76DE-434A-AB7C-C9EEBD040840}"/>
            </a:ext>
          </a:extLst>
        </xdr:cNvPr>
        <xdr:cNvSpPr/>
      </xdr:nvSpPr>
      <xdr:spPr>
        <a:xfrm>
          <a:off x="13516592484" y="14279617"/>
          <a:ext cx="16860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6</xdr:col>
      <xdr:colOff>319689</xdr:colOff>
      <xdr:row>76</xdr:row>
      <xdr:rowOff>17517</xdr:rowOff>
    </xdr:from>
    <xdr:to>
      <xdr:col>6</xdr:col>
      <xdr:colOff>490482</xdr:colOff>
      <xdr:row>77</xdr:row>
      <xdr:rowOff>17518</xdr:rowOff>
    </xdr:to>
    <xdr:sp macro="" textlink="">
      <xdr:nvSpPr>
        <xdr:cNvPr id="50" name="Oval 49">
          <a:extLst>
            <a:ext uri="{FF2B5EF4-FFF2-40B4-BE49-F238E27FC236}">
              <a16:creationId xmlns:a16="http://schemas.microsoft.com/office/drawing/2014/main" id="{FF337D6E-59E9-8F44-8FAC-AD80C61A27DB}"/>
            </a:ext>
          </a:extLst>
        </xdr:cNvPr>
        <xdr:cNvSpPr/>
      </xdr:nvSpPr>
      <xdr:spPr>
        <a:xfrm>
          <a:off x="13519548518" y="15524217"/>
          <a:ext cx="17079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8</xdr:col>
      <xdr:colOff>591207</xdr:colOff>
      <xdr:row>68</xdr:row>
      <xdr:rowOff>122620</xdr:rowOff>
    </xdr:from>
    <xdr:to>
      <xdr:col>8</xdr:col>
      <xdr:colOff>599965</xdr:colOff>
      <xdr:row>70</xdr:row>
      <xdr:rowOff>118241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4F53F094-0221-7842-BFB7-C11421E41220}"/>
            </a:ext>
          </a:extLst>
        </xdr:cNvPr>
        <xdr:cNvCxnSpPr/>
      </xdr:nvCxnSpPr>
      <xdr:spPr>
        <a:xfrm flipH="1" flipV="1">
          <a:off x="13517788035" y="13978320"/>
          <a:ext cx="8758" cy="402021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315311</xdr:colOff>
      <xdr:row>67</xdr:row>
      <xdr:rowOff>155905</xdr:rowOff>
    </xdr:from>
    <xdr:ext cx="57534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E842EB4E-AD1D-1046-B70D-51A1056A3A92}"/>
                </a:ext>
              </a:extLst>
            </xdr:cNvPr>
            <xdr:cNvSpPr txBox="1"/>
          </xdr:nvSpPr>
          <xdr:spPr>
            <a:xfrm>
              <a:off x="13517497348" y="13795705"/>
              <a:ext cx="5753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E842EB4E-AD1D-1046-B70D-51A1056A3A92}"/>
                </a:ext>
              </a:extLst>
            </xdr:cNvPr>
            <xdr:cNvSpPr txBox="1"/>
          </xdr:nvSpPr>
          <xdr:spPr>
            <a:xfrm>
              <a:off x="13517497348" y="13795705"/>
              <a:ext cx="5753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508000</xdr:colOff>
      <xdr:row>66</xdr:row>
      <xdr:rowOff>135758</xdr:rowOff>
    </xdr:from>
    <xdr:to>
      <xdr:col>8</xdr:col>
      <xdr:colOff>678793</xdr:colOff>
      <xdr:row>67</xdr:row>
      <xdr:rowOff>135759</xdr:rowOff>
    </xdr:to>
    <xdr:sp macro="" textlink="">
      <xdr:nvSpPr>
        <xdr:cNvPr id="53" name="Oval 52">
          <a:extLst>
            <a:ext uri="{FF2B5EF4-FFF2-40B4-BE49-F238E27FC236}">
              <a16:creationId xmlns:a16="http://schemas.microsoft.com/office/drawing/2014/main" id="{EA398AFC-D1A9-3747-89F9-A0F1D6BB3404}"/>
            </a:ext>
          </a:extLst>
        </xdr:cNvPr>
        <xdr:cNvSpPr/>
      </xdr:nvSpPr>
      <xdr:spPr>
        <a:xfrm>
          <a:off x="13517709207" y="13572358"/>
          <a:ext cx="17079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6</xdr:col>
      <xdr:colOff>302172</xdr:colOff>
      <xdr:row>82</xdr:row>
      <xdr:rowOff>8758</xdr:rowOff>
    </xdr:from>
    <xdr:to>
      <xdr:col>6</xdr:col>
      <xdr:colOff>472965</xdr:colOff>
      <xdr:row>83</xdr:row>
      <xdr:rowOff>8759</xdr:rowOff>
    </xdr:to>
    <xdr:sp macro="" textlink="">
      <xdr:nvSpPr>
        <xdr:cNvPr id="54" name="Oval 53">
          <a:extLst>
            <a:ext uri="{FF2B5EF4-FFF2-40B4-BE49-F238E27FC236}">
              <a16:creationId xmlns:a16="http://schemas.microsoft.com/office/drawing/2014/main" id="{A3887127-7DE1-F741-8D70-7E6445D56311}"/>
            </a:ext>
          </a:extLst>
        </xdr:cNvPr>
        <xdr:cNvSpPr/>
      </xdr:nvSpPr>
      <xdr:spPr>
        <a:xfrm>
          <a:off x="13519566035" y="16760058"/>
          <a:ext cx="17079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7</xdr:col>
      <xdr:colOff>705069</xdr:colOff>
      <xdr:row>68</xdr:row>
      <xdr:rowOff>116490</xdr:rowOff>
    </xdr:from>
    <xdr:ext cx="57534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FE1DD547-BB54-0D45-8E60-4188AC0D37CE}"/>
                </a:ext>
              </a:extLst>
            </xdr:cNvPr>
            <xdr:cNvSpPr txBox="1"/>
          </xdr:nvSpPr>
          <xdr:spPr>
            <a:xfrm>
              <a:off x="13517933090" y="13972190"/>
              <a:ext cx="5753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FE1DD547-BB54-0D45-8E60-4188AC0D37CE}"/>
                </a:ext>
              </a:extLst>
            </xdr:cNvPr>
            <xdr:cNvSpPr txBox="1"/>
          </xdr:nvSpPr>
          <xdr:spPr>
            <a:xfrm>
              <a:off x="13517933090" y="13972190"/>
              <a:ext cx="5753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78828</xdr:colOff>
      <xdr:row>69</xdr:row>
      <xdr:rowOff>56931</xdr:rowOff>
    </xdr:from>
    <xdr:to>
      <xdr:col>8</xdr:col>
      <xdr:colOff>249621</xdr:colOff>
      <xdr:row>70</xdr:row>
      <xdr:rowOff>56932</xdr:rowOff>
    </xdr:to>
    <xdr:sp macro="" textlink="">
      <xdr:nvSpPr>
        <xdr:cNvPr id="56" name="Oval 55">
          <a:extLst>
            <a:ext uri="{FF2B5EF4-FFF2-40B4-BE49-F238E27FC236}">
              <a16:creationId xmlns:a16="http://schemas.microsoft.com/office/drawing/2014/main" id="{62221DAF-D166-A441-B839-D7675083F40F}"/>
            </a:ext>
          </a:extLst>
        </xdr:cNvPr>
        <xdr:cNvSpPr/>
      </xdr:nvSpPr>
      <xdr:spPr>
        <a:xfrm>
          <a:off x="13518138379" y="14115831"/>
          <a:ext cx="17079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6</xdr:col>
      <xdr:colOff>315310</xdr:colOff>
      <xdr:row>85</xdr:row>
      <xdr:rowOff>192690</xdr:rowOff>
    </xdr:from>
    <xdr:to>
      <xdr:col>6</xdr:col>
      <xdr:colOff>486103</xdr:colOff>
      <xdr:row>86</xdr:row>
      <xdr:rowOff>192691</xdr:rowOff>
    </xdr:to>
    <xdr:sp macro="" textlink="">
      <xdr:nvSpPr>
        <xdr:cNvPr id="57" name="Oval 56">
          <a:extLst>
            <a:ext uri="{FF2B5EF4-FFF2-40B4-BE49-F238E27FC236}">
              <a16:creationId xmlns:a16="http://schemas.microsoft.com/office/drawing/2014/main" id="{6D352EDF-3B6C-5B44-AE77-E545585DC44E}"/>
            </a:ext>
          </a:extLst>
        </xdr:cNvPr>
        <xdr:cNvSpPr/>
      </xdr:nvSpPr>
      <xdr:spPr>
        <a:xfrm>
          <a:off x="13519552897" y="17566290"/>
          <a:ext cx="170793" cy="2159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7</xdr:col>
      <xdr:colOff>503620</xdr:colOff>
      <xdr:row>65</xdr:row>
      <xdr:rowOff>131379</xdr:rowOff>
    </xdr:from>
    <xdr:to>
      <xdr:col>7</xdr:col>
      <xdr:colOff>512378</xdr:colOff>
      <xdr:row>68</xdr:row>
      <xdr:rowOff>109482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87D6E73B-B585-B644-93D7-D07FCD0FD3FA}"/>
            </a:ext>
          </a:extLst>
        </xdr:cNvPr>
        <xdr:cNvCxnSpPr/>
      </xdr:nvCxnSpPr>
      <xdr:spPr>
        <a:xfrm flipH="1" flipV="1">
          <a:off x="13518701122" y="13364779"/>
          <a:ext cx="8758" cy="600403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7</xdr:col>
      <xdr:colOff>205828</xdr:colOff>
      <xdr:row>68</xdr:row>
      <xdr:rowOff>134008</xdr:rowOff>
    </xdr:from>
    <xdr:ext cx="57534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19A18FAC-C81C-6244-A6CD-FB50B09EEFF7}"/>
                </a:ext>
              </a:extLst>
            </xdr:cNvPr>
            <xdr:cNvSpPr txBox="1"/>
          </xdr:nvSpPr>
          <xdr:spPr>
            <a:xfrm>
              <a:off x="13518432331" y="13989708"/>
              <a:ext cx="5753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19A18FAC-C81C-6244-A6CD-FB50B09EEFF7}"/>
                </a:ext>
              </a:extLst>
            </xdr:cNvPr>
            <xdr:cNvSpPr txBox="1"/>
          </xdr:nvSpPr>
          <xdr:spPr>
            <a:xfrm>
              <a:off x="13518432331" y="13989708"/>
              <a:ext cx="5753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411655</xdr:colOff>
      <xdr:row>69</xdr:row>
      <xdr:rowOff>109483</xdr:rowOff>
    </xdr:from>
    <xdr:to>
      <xdr:col>7</xdr:col>
      <xdr:colOff>582448</xdr:colOff>
      <xdr:row>70</xdr:row>
      <xdr:rowOff>109484</xdr:rowOff>
    </xdr:to>
    <xdr:sp macro="" textlink="">
      <xdr:nvSpPr>
        <xdr:cNvPr id="60" name="Oval 59">
          <a:extLst>
            <a:ext uri="{FF2B5EF4-FFF2-40B4-BE49-F238E27FC236}">
              <a16:creationId xmlns:a16="http://schemas.microsoft.com/office/drawing/2014/main" id="{92C5461D-2B2B-064B-9307-43D014E7C581}"/>
            </a:ext>
          </a:extLst>
        </xdr:cNvPr>
        <xdr:cNvSpPr/>
      </xdr:nvSpPr>
      <xdr:spPr>
        <a:xfrm>
          <a:off x="13518631052" y="14168383"/>
          <a:ext cx="17079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0</xdr:col>
      <xdr:colOff>678792</xdr:colOff>
      <xdr:row>82</xdr:row>
      <xdr:rowOff>4379</xdr:rowOff>
    </xdr:from>
    <xdr:to>
      <xdr:col>0</xdr:col>
      <xdr:colOff>849585</xdr:colOff>
      <xdr:row>83</xdr:row>
      <xdr:rowOff>4380</xdr:rowOff>
    </xdr:to>
    <xdr:sp macro="" textlink="">
      <xdr:nvSpPr>
        <xdr:cNvPr id="61" name="Oval 60">
          <a:extLst>
            <a:ext uri="{FF2B5EF4-FFF2-40B4-BE49-F238E27FC236}">
              <a16:creationId xmlns:a16="http://schemas.microsoft.com/office/drawing/2014/main" id="{3D5B6670-591F-9848-ADA2-C53A4BC0A931}"/>
            </a:ext>
          </a:extLst>
        </xdr:cNvPr>
        <xdr:cNvSpPr/>
      </xdr:nvSpPr>
      <xdr:spPr>
        <a:xfrm>
          <a:off x="13524269415" y="16755679"/>
          <a:ext cx="17079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7</xdr:col>
      <xdr:colOff>531091</xdr:colOff>
      <xdr:row>65</xdr:row>
      <xdr:rowOff>121228</xdr:rowOff>
    </xdr:from>
    <xdr:to>
      <xdr:col>9</xdr:col>
      <xdr:colOff>438727</xdr:colOff>
      <xdr:row>65</xdr:row>
      <xdr:rowOff>138546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F9FF7FD5-2E22-7947-BF15-5A83EFFD6AEC}"/>
            </a:ext>
          </a:extLst>
        </xdr:cNvPr>
        <xdr:cNvCxnSpPr/>
      </xdr:nvCxnSpPr>
      <xdr:spPr>
        <a:xfrm>
          <a:off x="13517123773" y="13354628"/>
          <a:ext cx="1558636" cy="17318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9</xdr:col>
      <xdr:colOff>457837</xdr:colOff>
      <xdr:row>65</xdr:row>
      <xdr:rowOff>17120</xdr:rowOff>
    </xdr:from>
    <xdr:to>
      <xdr:col>9</xdr:col>
      <xdr:colOff>628630</xdr:colOff>
      <xdr:row>66</xdr:row>
      <xdr:rowOff>17120</xdr:rowOff>
    </xdr:to>
    <xdr:sp macro="" textlink="">
      <xdr:nvSpPr>
        <xdr:cNvPr id="63" name="Oval 62">
          <a:extLst>
            <a:ext uri="{FF2B5EF4-FFF2-40B4-BE49-F238E27FC236}">
              <a16:creationId xmlns:a16="http://schemas.microsoft.com/office/drawing/2014/main" id="{C93540B2-E29A-6549-AF98-7401F000D1A2}"/>
            </a:ext>
          </a:extLst>
        </xdr:cNvPr>
        <xdr:cNvSpPr/>
      </xdr:nvSpPr>
      <xdr:spPr>
        <a:xfrm>
          <a:off x="13516933870" y="13250520"/>
          <a:ext cx="170793" cy="20320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5</a:t>
          </a:r>
          <a:endParaRPr lang="en-US" sz="1100"/>
        </a:p>
      </xdr:txBody>
    </xdr:sp>
    <xdr:clientData/>
  </xdr:twoCellAnchor>
  <xdr:twoCellAnchor>
    <xdr:from>
      <xdr:col>0</xdr:col>
      <xdr:colOff>626838</xdr:colOff>
      <xdr:row>86</xdr:row>
      <xdr:rowOff>4378</xdr:rowOff>
    </xdr:from>
    <xdr:to>
      <xdr:col>0</xdr:col>
      <xdr:colOff>797631</xdr:colOff>
      <xdr:row>87</xdr:row>
      <xdr:rowOff>4379</xdr:rowOff>
    </xdr:to>
    <xdr:sp macro="" textlink="">
      <xdr:nvSpPr>
        <xdr:cNvPr id="64" name="Oval 63">
          <a:extLst>
            <a:ext uri="{FF2B5EF4-FFF2-40B4-BE49-F238E27FC236}">
              <a16:creationId xmlns:a16="http://schemas.microsoft.com/office/drawing/2014/main" id="{1E5847B4-A287-1B49-8C1E-9A24C2E6FDA9}"/>
            </a:ext>
          </a:extLst>
        </xdr:cNvPr>
        <xdr:cNvSpPr/>
      </xdr:nvSpPr>
      <xdr:spPr>
        <a:xfrm>
          <a:off x="13524321369" y="17593878"/>
          <a:ext cx="17079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5</a:t>
          </a:r>
          <a:endParaRPr lang="en-US" sz="1100"/>
        </a:p>
      </xdr:txBody>
    </xdr:sp>
    <xdr:clientData/>
  </xdr:twoCellAnchor>
  <xdr:twoCellAnchor editAs="oneCell">
    <xdr:from>
      <xdr:col>6</xdr:col>
      <xdr:colOff>33421</xdr:colOff>
      <xdr:row>98</xdr:row>
      <xdr:rowOff>22991</xdr:rowOff>
    </xdr:from>
    <xdr:to>
      <xdr:col>7</xdr:col>
      <xdr:colOff>739943</xdr:colOff>
      <xdr:row>105</xdr:row>
      <xdr:rowOff>167774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12DB187D-FFD6-3652-C0CC-4208E71A6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8473557" y="20162517"/>
          <a:ext cx="1532022" cy="1571862"/>
        </a:xfrm>
        <a:prstGeom prst="rect">
          <a:avLst/>
        </a:prstGeom>
      </xdr:spPr>
    </xdr:pic>
    <xdr:clientData/>
  </xdr:twoCellAnchor>
  <xdr:twoCellAnchor>
    <xdr:from>
      <xdr:col>8</xdr:col>
      <xdr:colOff>541421</xdr:colOff>
      <xdr:row>117</xdr:row>
      <xdr:rowOff>96921</xdr:rowOff>
    </xdr:from>
    <xdr:to>
      <xdr:col>8</xdr:col>
      <xdr:colOff>551447</xdr:colOff>
      <xdr:row>130</xdr:row>
      <xdr:rowOff>150395</xdr:rowOff>
    </xdr:to>
    <xdr:cxnSp macro="">
      <xdr:nvCxnSpPr>
        <xdr:cNvPr id="68" name="Straight Arrow Connector 67">
          <a:extLst>
            <a:ext uri="{FF2B5EF4-FFF2-40B4-BE49-F238E27FC236}">
              <a16:creationId xmlns:a16="http://schemas.microsoft.com/office/drawing/2014/main" id="{34417820-0F14-3504-0FF9-42DFD44B12DC}"/>
            </a:ext>
          </a:extLst>
        </xdr:cNvPr>
        <xdr:cNvCxnSpPr/>
      </xdr:nvCxnSpPr>
      <xdr:spPr>
        <a:xfrm flipH="1" flipV="1">
          <a:off x="13517836553" y="24109947"/>
          <a:ext cx="10026" cy="2703764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230606</xdr:colOff>
      <xdr:row>125</xdr:row>
      <xdr:rowOff>93578</xdr:rowOff>
    </xdr:from>
    <xdr:to>
      <xdr:col>8</xdr:col>
      <xdr:colOff>792080</xdr:colOff>
      <xdr:row>125</xdr:row>
      <xdr:rowOff>103604</xdr:rowOff>
    </xdr:to>
    <xdr:cxnSp macro="">
      <xdr:nvCxnSpPr>
        <xdr:cNvPr id="69" name="Straight Arrow Connector 68">
          <a:extLst>
            <a:ext uri="{FF2B5EF4-FFF2-40B4-BE49-F238E27FC236}">
              <a16:creationId xmlns:a16="http://schemas.microsoft.com/office/drawing/2014/main" id="{A3DB80AB-6B2F-D5BD-0857-3987ECF91807}"/>
            </a:ext>
          </a:extLst>
        </xdr:cNvPr>
        <xdr:cNvCxnSpPr/>
      </xdr:nvCxnSpPr>
      <xdr:spPr>
        <a:xfrm flipV="1">
          <a:off x="13517595920" y="25737552"/>
          <a:ext cx="2212474" cy="10026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7</xdr:col>
      <xdr:colOff>775368</xdr:colOff>
      <xdr:row>116</xdr:row>
      <xdr:rowOff>127668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93EC7391-B840-81AF-5528-99E7469F1D7B}"/>
                </a:ext>
              </a:extLst>
            </xdr:cNvPr>
            <xdr:cNvSpPr txBox="1"/>
          </xdr:nvSpPr>
          <xdr:spPr>
            <a:xfrm>
              <a:off x="13517309384" y="23936826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93EC7391-B840-81AF-5528-99E7469F1D7B}"/>
                </a:ext>
              </a:extLst>
            </xdr:cNvPr>
            <xdr:cNvSpPr txBox="1"/>
          </xdr:nvSpPr>
          <xdr:spPr>
            <a:xfrm>
              <a:off x="13517309384" y="23936826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367631</xdr:colOff>
      <xdr:row>124</xdr:row>
      <xdr:rowOff>191168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15178A10-B2D6-E471-D0B5-46E01B83BD6C}"/>
                </a:ext>
              </a:extLst>
            </xdr:cNvPr>
            <xdr:cNvSpPr txBox="1"/>
          </xdr:nvSpPr>
          <xdr:spPr>
            <a:xfrm>
              <a:off x="13519368121" y="25631273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15178A10-B2D6-E471-D0B5-46E01B83BD6C}"/>
                </a:ext>
              </a:extLst>
            </xdr:cNvPr>
            <xdr:cNvSpPr txBox="1"/>
          </xdr:nvSpPr>
          <xdr:spPr>
            <a:xfrm>
              <a:off x="13519368121" y="25631273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𝑠_𝑡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738605</xdr:colOff>
      <xdr:row>128</xdr:row>
      <xdr:rowOff>60158</xdr:rowOff>
    </xdr:from>
    <xdr:to>
      <xdr:col>8</xdr:col>
      <xdr:colOff>551447</xdr:colOff>
      <xdr:row>128</xdr:row>
      <xdr:rowOff>63500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C5C7503F-6936-3A84-EF9E-E163989271F7}"/>
            </a:ext>
          </a:extLst>
        </xdr:cNvPr>
        <xdr:cNvCxnSpPr/>
      </xdr:nvCxnSpPr>
      <xdr:spPr>
        <a:xfrm flipV="1">
          <a:off x="13517836553" y="26315737"/>
          <a:ext cx="638342" cy="33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538079</xdr:colOff>
      <xdr:row>119</xdr:row>
      <xdr:rowOff>140369</xdr:rowOff>
    </xdr:from>
    <xdr:to>
      <xdr:col>7</xdr:col>
      <xdr:colOff>748632</xdr:colOff>
      <xdr:row>128</xdr:row>
      <xdr:rowOff>56816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9958CD88-CB00-F505-D433-1BDEF72DABF2}"/>
            </a:ext>
          </a:extLst>
        </xdr:cNvPr>
        <xdr:cNvCxnSpPr/>
      </xdr:nvCxnSpPr>
      <xdr:spPr>
        <a:xfrm flipV="1">
          <a:off x="13518464868" y="24561132"/>
          <a:ext cx="1036053" cy="175126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177131</xdr:colOff>
      <xdr:row>124</xdr:row>
      <xdr:rowOff>134352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D911C30F-32C4-EBAA-96C8-A346EB61BD8C}"/>
                </a:ext>
              </a:extLst>
            </xdr:cNvPr>
            <xdr:cNvSpPr txBox="1"/>
          </xdr:nvSpPr>
          <xdr:spPr>
            <a:xfrm>
              <a:off x="13517907621" y="25574457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90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D911C30F-32C4-EBAA-96C8-A346EB61BD8C}"/>
                </a:ext>
              </a:extLst>
            </xdr:cNvPr>
            <xdr:cNvSpPr txBox="1"/>
          </xdr:nvSpPr>
          <xdr:spPr>
            <a:xfrm>
              <a:off x="13517907621" y="25574457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90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126999</xdr:colOff>
      <xdr:row>127</xdr:row>
      <xdr:rowOff>167772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2EE3D913-0D2B-EAC1-2554-2EA78C040F3A}"/>
                </a:ext>
              </a:extLst>
            </xdr:cNvPr>
            <xdr:cNvSpPr txBox="1"/>
          </xdr:nvSpPr>
          <xdr:spPr>
            <a:xfrm>
              <a:off x="13517132253" y="26219483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2EE3D913-0D2B-EAC1-2554-2EA78C040F3A}"/>
                </a:ext>
              </a:extLst>
            </xdr:cNvPr>
            <xdr:cNvSpPr txBox="1"/>
          </xdr:nvSpPr>
          <xdr:spPr>
            <a:xfrm>
              <a:off x="13517132253" y="26219483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725237</xdr:colOff>
      <xdr:row>119</xdr:row>
      <xdr:rowOff>143711</xdr:rowOff>
    </xdr:from>
    <xdr:to>
      <xdr:col>6</xdr:col>
      <xdr:colOff>538079</xdr:colOff>
      <xdr:row>119</xdr:row>
      <xdr:rowOff>147053</xdr:rowOff>
    </xdr:to>
    <xdr:cxnSp macro="">
      <xdr:nvCxnSpPr>
        <xdr:cNvPr id="86" name="Straight Connector 85">
          <a:extLst>
            <a:ext uri="{FF2B5EF4-FFF2-40B4-BE49-F238E27FC236}">
              <a16:creationId xmlns:a16="http://schemas.microsoft.com/office/drawing/2014/main" id="{2637417F-1D8C-AF8A-FE38-85B66253DBA4}"/>
            </a:ext>
          </a:extLst>
        </xdr:cNvPr>
        <xdr:cNvCxnSpPr/>
      </xdr:nvCxnSpPr>
      <xdr:spPr>
        <a:xfrm flipV="1">
          <a:off x="13519500921" y="24564474"/>
          <a:ext cx="638342" cy="33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130342</xdr:colOff>
      <xdr:row>119</xdr:row>
      <xdr:rowOff>77535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9D1211B5-A258-2F18-9147-C8836D0D6A44}"/>
                </a:ext>
              </a:extLst>
            </xdr:cNvPr>
            <xdr:cNvSpPr txBox="1"/>
          </xdr:nvSpPr>
          <xdr:spPr>
            <a:xfrm>
              <a:off x="13517128910" y="24498298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9D1211B5-A258-2F18-9147-C8836D0D6A44}"/>
                </a:ext>
              </a:extLst>
            </xdr:cNvPr>
            <xdr:cNvSpPr txBox="1"/>
          </xdr:nvSpPr>
          <xdr:spPr>
            <a:xfrm>
              <a:off x="13517128910" y="24498298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812132</xdr:colOff>
      <xdr:row>125</xdr:row>
      <xdr:rowOff>90904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7C3D6C43-5B61-7258-07B3-0F5208270262}"/>
                </a:ext>
              </a:extLst>
            </xdr:cNvPr>
            <xdr:cNvSpPr txBox="1"/>
          </xdr:nvSpPr>
          <xdr:spPr>
            <a:xfrm>
              <a:off x="13518923620" y="25734878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7C3D6C43-5B61-7258-07B3-0F5208270262}"/>
                </a:ext>
              </a:extLst>
            </xdr:cNvPr>
            <xdr:cNvSpPr txBox="1"/>
          </xdr:nvSpPr>
          <xdr:spPr>
            <a:xfrm>
              <a:off x="13518923620" y="25734878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594896</xdr:colOff>
      <xdr:row>125</xdr:row>
      <xdr:rowOff>97588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E02F7D95-2E15-0481-30CC-A63EE0F1D5D8}"/>
                </a:ext>
              </a:extLst>
            </xdr:cNvPr>
            <xdr:cNvSpPr txBox="1"/>
          </xdr:nvSpPr>
          <xdr:spPr>
            <a:xfrm>
              <a:off x="13518315356" y="25741562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E02F7D95-2E15-0481-30CC-A63EE0F1D5D8}"/>
                </a:ext>
              </a:extLst>
            </xdr:cNvPr>
            <xdr:cNvSpPr txBox="1"/>
          </xdr:nvSpPr>
          <xdr:spPr>
            <a:xfrm>
              <a:off x="13518315356" y="25741562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110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541421</xdr:colOff>
      <xdr:row>134</xdr:row>
      <xdr:rowOff>96921</xdr:rowOff>
    </xdr:from>
    <xdr:to>
      <xdr:col>6</xdr:col>
      <xdr:colOff>551447</xdr:colOff>
      <xdr:row>147</xdr:row>
      <xdr:rowOff>150395</xdr:rowOff>
    </xdr:to>
    <xdr:cxnSp macro="">
      <xdr:nvCxnSpPr>
        <xdr:cNvPr id="91" name="Straight Arrow Connector 90">
          <a:extLst>
            <a:ext uri="{FF2B5EF4-FFF2-40B4-BE49-F238E27FC236}">
              <a16:creationId xmlns:a16="http://schemas.microsoft.com/office/drawing/2014/main" id="{106B91D3-7DC2-D048-88DF-FC1C4F0A3645}"/>
            </a:ext>
          </a:extLst>
        </xdr:cNvPr>
        <xdr:cNvCxnSpPr/>
      </xdr:nvCxnSpPr>
      <xdr:spPr>
        <a:xfrm flipH="1" flipV="1">
          <a:off x="13495711532" y="23970219"/>
          <a:ext cx="10026" cy="2688048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230606</xdr:colOff>
      <xdr:row>142</xdr:row>
      <xdr:rowOff>93578</xdr:rowOff>
    </xdr:from>
    <xdr:to>
      <xdr:col>6</xdr:col>
      <xdr:colOff>792080</xdr:colOff>
      <xdr:row>142</xdr:row>
      <xdr:rowOff>103604</xdr:rowOff>
    </xdr:to>
    <xdr:cxnSp macro="">
      <xdr:nvCxnSpPr>
        <xdr:cNvPr id="92" name="Straight Arrow Connector 91">
          <a:extLst>
            <a:ext uri="{FF2B5EF4-FFF2-40B4-BE49-F238E27FC236}">
              <a16:creationId xmlns:a16="http://schemas.microsoft.com/office/drawing/2014/main" id="{50E30451-DDB6-8A4C-9CB4-A99FCDEAE698}"/>
            </a:ext>
          </a:extLst>
        </xdr:cNvPr>
        <xdr:cNvCxnSpPr/>
      </xdr:nvCxnSpPr>
      <xdr:spPr>
        <a:xfrm flipV="1">
          <a:off x="13495470899" y="25588152"/>
          <a:ext cx="2209772" cy="10026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775368</xdr:colOff>
      <xdr:row>133</xdr:row>
      <xdr:rowOff>127668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2341A0CC-2D50-6D4D-AA09-8E82835B42B7}"/>
                </a:ext>
              </a:extLst>
            </xdr:cNvPr>
            <xdr:cNvSpPr txBox="1"/>
          </xdr:nvSpPr>
          <xdr:spPr>
            <a:xfrm>
              <a:off x="13495183012" y="23798306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2341A0CC-2D50-6D4D-AA09-8E82835B42B7}"/>
                </a:ext>
              </a:extLst>
            </xdr:cNvPr>
            <xdr:cNvSpPr txBox="1"/>
          </xdr:nvSpPr>
          <xdr:spPr>
            <a:xfrm>
              <a:off x="13495183012" y="23798306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367631</xdr:colOff>
      <xdr:row>141</xdr:row>
      <xdr:rowOff>191168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0FE1252D-6F34-804C-B058-A07CBF3C294C}"/>
                </a:ext>
              </a:extLst>
            </xdr:cNvPr>
            <xdr:cNvSpPr txBox="1"/>
          </xdr:nvSpPr>
          <xdr:spPr>
            <a:xfrm>
              <a:off x="13497239046" y="25483083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0FE1252D-6F34-804C-B058-A07CBF3C294C}"/>
                </a:ext>
              </a:extLst>
            </xdr:cNvPr>
            <xdr:cNvSpPr txBox="1"/>
          </xdr:nvSpPr>
          <xdr:spPr>
            <a:xfrm>
              <a:off x="13497239046" y="25483083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𝑠_𝑡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738605</xdr:colOff>
      <xdr:row>145</xdr:row>
      <xdr:rowOff>60158</xdr:rowOff>
    </xdr:from>
    <xdr:to>
      <xdr:col>6</xdr:col>
      <xdr:colOff>551447</xdr:colOff>
      <xdr:row>145</xdr:row>
      <xdr:rowOff>63500</xdr:rowOff>
    </xdr:to>
    <xdr:cxnSp macro="">
      <xdr:nvCxnSpPr>
        <xdr:cNvPr id="95" name="Straight Connector 94">
          <a:extLst>
            <a:ext uri="{FF2B5EF4-FFF2-40B4-BE49-F238E27FC236}">
              <a16:creationId xmlns:a16="http://schemas.microsoft.com/office/drawing/2014/main" id="{8F191643-EDF0-4E47-AE80-B25C39210E6A}"/>
            </a:ext>
          </a:extLst>
        </xdr:cNvPr>
        <xdr:cNvCxnSpPr/>
      </xdr:nvCxnSpPr>
      <xdr:spPr>
        <a:xfrm flipV="1">
          <a:off x="13495711532" y="26162711"/>
          <a:ext cx="636991" cy="33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538079</xdr:colOff>
      <xdr:row>136</xdr:row>
      <xdr:rowOff>140369</xdr:rowOff>
    </xdr:from>
    <xdr:to>
      <xdr:col>5</xdr:col>
      <xdr:colOff>748632</xdr:colOff>
      <xdr:row>145</xdr:row>
      <xdr:rowOff>56816</xdr:rowOff>
    </xdr:to>
    <xdr:cxnSp macro="">
      <xdr:nvCxnSpPr>
        <xdr:cNvPr id="96" name="Straight Connector 95">
          <a:extLst>
            <a:ext uri="{FF2B5EF4-FFF2-40B4-BE49-F238E27FC236}">
              <a16:creationId xmlns:a16="http://schemas.microsoft.com/office/drawing/2014/main" id="{50954569-90CF-6D48-86D8-075E9953A664}"/>
            </a:ext>
          </a:extLst>
        </xdr:cNvPr>
        <xdr:cNvCxnSpPr/>
      </xdr:nvCxnSpPr>
      <xdr:spPr>
        <a:xfrm flipV="1">
          <a:off x="13496338496" y="24418986"/>
          <a:ext cx="1034702" cy="174038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177131</xdr:colOff>
      <xdr:row>141</xdr:row>
      <xdr:rowOff>134352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7" name="TextBox 96">
              <a:extLst>
                <a:ext uri="{FF2B5EF4-FFF2-40B4-BE49-F238E27FC236}">
                  <a16:creationId xmlns:a16="http://schemas.microsoft.com/office/drawing/2014/main" id="{DDA9F7C8-AE3A-544D-BBCF-B197091D78D7}"/>
                </a:ext>
              </a:extLst>
            </xdr:cNvPr>
            <xdr:cNvSpPr txBox="1"/>
          </xdr:nvSpPr>
          <xdr:spPr>
            <a:xfrm>
              <a:off x="13495781249" y="25426267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90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7" name="TextBox 96">
              <a:extLst>
                <a:ext uri="{FF2B5EF4-FFF2-40B4-BE49-F238E27FC236}">
                  <a16:creationId xmlns:a16="http://schemas.microsoft.com/office/drawing/2014/main" id="{DDA9F7C8-AE3A-544D-BBCF-B197091D78D7}"/>
                </a:ext>
              </a:extLst>
            </xdr:cNvPr>
            <xdr:cNvSpPr txBox="1"/>
          </xdr:nvSpPr>
          <xdr:spPr>
            <a:xfrm>
              <a:off x="13495781249" y="25426267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90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126999</xdr:colOff>
      <xdr:row>144</xdr:row>
      <xdr:rowOff>167772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A10A468F-CE3C-EE40-A7BA-36A6190B51A3}"/>
                </a:ext>
              </a:extLst>
            </xdr:cNvPr>
            <xdr:cNvSpPr txBox="1"/>
          </xdr:nvSpPr>
          <xdr:spPr>
            <a:xfrm>
              <a:off x="13495007232" y="26067666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25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A10A468F-CE3C-EE40-A7BA-36A6190B51A3}"/>
                </a:ext>
              </a:extLst>
            </xdr:cNvPr>
            <xdr:cNvSpPr txBox="1"/>
          </xdr:nvSpPr>
          <xdr:spPr>
            <a:xfrm>
              <a:off x="13495007232" y="26067666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594896</xdr:colOff>
      <xdr:row>142</xdr:row>
      <xdr:rowOff>97588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2" name="TextBox 101">
              <a:extLst>
                <a:ext uri="{FF2B5EF4-FFF2-40B4-BE49-F238E27FC236}">
                  <a16:creationId xmlns:a16="http://schemas.microsoft.com/office/drawing/2014/main" id="{0E2681A2-181D-6F42-A903-F22C9008F100}"/>
                </a:ext>
              </a:extLst>
            </xdr:cNvPr>
            <xdr:cNvSpPr txBox="1"/>
          </xdr:nvSpPr>
          <xdr:spPr>
            <a:xfrm>
              <a:off x="13496187633" y="25592162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2" name="TextBox 101">
              <a:extLst>
                <a:ext uri="{FF2B5EF4-FFF2-40B4-BE49-F238E27FC236}">
                  <a16:creationId xmlns:a16="http://schemas.microsoft.com/office/drawing/2014/main" id="{0E2681A2-181D-6F42-A903-F22C9008F100}"/>
                </a:ext>
              </a:extLst>
            </xdr:cNvPr>
            <xdr:cNvSpPr txBox="1"/>
          </xdr:nvSpPr>
          <xdr:spPr>
            <a:xfrm>
              <a:off x="13496187633" y="25592162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115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606903</xdr:colOff>
      <xdr:row>18</xdr:row>
      <xdr:rowOff>67434</xdr:rowOff>
    </xdr:from>
    <xdr:to>
      <xdr:col>8</xdr:col>
      <xdr:colOff>213541</xdr:colOff>
      <xdr:row>29</xdr:row>
      <xdr:rowOff>63687</xdr:rowOff>
    </xdr:to>
    <xdr:sp macro="" textlink="">
      <xdr:nvSpPr>
        <xdr:cNvPr id="2" name="Left Brace 1">
          <a:extLst>
            <a:ext uri="{FF2B5EF4-FFF2-40B4-BE49-F238E27FC236}">
              <a16:creationId xmlns:a16="http://schemas.microsoft.com/office/drawing/2014/main" id="{3FAFB118-28AC-EA35-1080-E70DC29E63AE}"/>
            </a:ext>
          </a:extLst>
        </xdr:cNvPr>
        <xdr:cNvSpPr/>
      </xdr:nvSpPr>
      <xdr:spPr>
        <a:xfrm>
          <a:off x="13496702094" y="3795015"/>
          <a:ext cx="430826" cy="2221563"/>
        </a:xfrm>
        <a:prstGeom prst="leftBrac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618142</xdr:colOff>
      <xdr:row>29</xdr:row>
      <xdr:rowOff>157346</xdr:rowOff>
    </xdr:from>
    <xdr:to>
      <xdr:col>8</xdr:col>
      <xdr:colOff>239765</xdr:colOff>
      <xdr:row>36</xdr:row>
      <xdr:rowOff>59942</xdr:rowOff>
    </xdr:to>
    <xdr:sp macro="" textlink="">
      <xdr:nvSpPr>
        <xdr:cNvPr id="3" name="Left Brace 2">
          <a:extLst>
            <a:ext uri="{FF2B5EF4-FFF2-40B4-BE49-F238E27FC236}">
              <a16:creationId xmlns:a16="http://schemas.microsoft.com/office/drawing/2014/main" id="{6B00F318-06DA-524F-82C9-31C4CEE9138A}"/>
            </a:ext>
          </a:extLst>
        </xdr:cNvPr>
        <xdr:cNvSpPr/>
      </xdr:nvSpPr>
      <xdr:spPr>
        <a:xfrm>
          <a:off x="13496675870" y="6110237"/>
          <a:ext cx="445811" cy="1318702"/>
        </a:xfrm>
        <a:prstGeom prst="leftBrac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131120</xdr:colOff>
      <xdr:row>114</xdr:row>
      <xdr:rowOff>176078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B117DC2E-4C31-2E41-B22B-3B23FB8F8202}"/>
                </a:ext>
              </a:extLst>
            </xdr:cNvPr>
            <xdr:cNvSpPr txBox="1"/>
          </xdr:nvSpPr>
          <xdr:spPr>
            <a:xfrm>
              <a:off x="13498202320" y="23324544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)∗10,000−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B117DC2E-4C31-2E41-B22B-3B23FB8F8202}"/>
                </a:ext>
              </a:extLst>
            </xdr:cNvPr>
            <xdr:cNvSpPr txBox="1"/>
          </xdr:nvSpPr>
          <xdr:spPr>
            <a:xfrm>
              <a:off x="13498202320" y="23324544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(𝑈𝑆𝐷)=𝑚𝑎𝑥{█(−𝑝𝑟𝑒𝑚𝑖𝑢𝑚@&amp;(𝑠𝑡−𝑥)∗10,000−𝑝𝑟𝑒𝑚𝑖𝑢𝑚)┤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59940</xdr:colOff>
      <xdr:row>121</xdr:row>
      <xdr:rowOff>7494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8E05CEF2-E612-BB57-F051-95CF412F8840}"/>
                </a:ext>
              </a:extLst>
            </xdr:cNvPr>
            <xdr:cNvSpPr txBox="1"/>
          </xdr:nvSpPr>
          <xdr:spPr>
            <a:xfrm>
              <a:off x="13498273500" y="24572066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𝑆𝐻𝑂𝑅𝑇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)∗10,000−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8E05CEF2-E612-BB57-F051-95CF412F8840}"/>
                </a:ext>
              </a:extLst>
            </xdr:cNvPr>
            <xdr:cNvSpPr txBox="1"/>
          </xdr:nvSpPr>
          <xdr:spPr>
            <a:xfrm>
              <a:off x="13498273500" y="24572066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𝑃&amp;𝐿_𝐶𝐴𝐿𝐿^𝑆𝐻𝑂𝑅𝑇 (𝑈𝑆𝐷)=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−</a:t>
              </a:r>
              <a:r>
                <a:rPr lang="en-US" sz="1100" b="0" i="0">
                  <a:latin typeface="Cambria Math" panose="02040503050406030204" pitchFamily="18" charset="0"/>
                </a:rPr>
                <a:t>𝑚𝑎𝑥{█(−𝑝𝑟𝑒𝑚𝑖𝑢𝑚@&amp;(𝑠𝑡−𝑥)∗10,000−𝑝𝑟𝑒𝑚𝑖𝑢𝑚)┤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670590</xdr:colOff>
      <xdr:row>124</xdr:row>
      <xdr:rowOff>26225</xdr:rowOff>
    </xdr:from>
    <xdr:ext cx="4134228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DFCB2BB1-77B0-EF27-5E22-7155178B2902}"/>
                </a:ext>
              </a:extLst>
            </xdr:cNvPr>
            <xdr:cNvSpPr txBox="1"/>
          </xdr:nvSpPr>
          <xdr:spPr>
            <a:xfrm>
              <a:off x="13497880138" y="25197700"/>
              <a:ext cx="4134228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𝑆𝐻𝑂𝑅𝑇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)=−8∗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)∗10,000−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DFCB2BB1-77B0-EF27-5E22-7155178B2902}"/>
                </a:ext>
              </a:extLst>
            </xdr:cNvPr>
            <xdr:cNvSpPr txBox="1"/>
          </xdr:nvSpPr>
          <xdr:spPr>
            <a:xfrm>
              <a:off x="13497880138" y="25197700"/>
              <a:ext cx="4134228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𝑃&amp;𝐿_𝐶𝐴𝐿𝐿^𝑆𝐻𝑂𝑅𝑇 (𝑈𝑆𝐷)=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8∗</a:t>
              </a:r>
              <a:r>
                <a:rPr lang="en-US" sz="1100" b="0" i="0">
                  <a:latin typeface="Cambria Math" panose="02040503050406030204" pitchFamily="18" charset="0"/>
                </a:rPr>
                <a:t>𝑚𝑎𝑥{█(−𝑝𝑟𝑒𝑚𝑖𝑢𝑚@&amp;(𝑠𝑡−𝑥)∗10,000−𝑝𝑟𝑒𝑚𝑖𝑢𝑚)┤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5</xdr:col>
      <xdr:colOff>104494</xdr:colOff>
      <xdr:row>135</xdr:row>
      <xdr:rowOff>8038</xdr:rowOff>
    </xdr:from>
    <xdr:to>
      <xdr:col>6</xdr:col>
      <xdr:colOff>766663</xdr:colOff>
      <xdr:row>136</xdr:row>
      <xdr:rowOff>83655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D5359AF-D45A-4D63-252A-4DCFBCBCE6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92943148" y="27751108"/>
          <a:ext cx="1486061" cy="280585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81604</xdr:colOff>
      <xdr:row>18</xdr:row>
      <xdr:rowOff>133350</xdr:rowOff>
    </xdr:from>
    <xdr:to>
      <xdr:col>7</xdr:col>
      <xdr:colOff>787400</xdr:colOff>
      <xdr:row>25</xdr:row>
      <xdr:rowOff>6349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CDD51C5-D385-F042-A1DA-958707719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8426100" y="4032250"/>
          <a:ext cx="4007796" cy="13081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25400</xdr:rowOff>
    </xdr:from>
    <xdr:to>
      <xdr:col>7</xdr:col>
      <xdr:colOff>819597</xdr:colOff>
      <xdr:row>70</xdr:row>
      <xdr:rowOff>126586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B34569D-3922-E249-B1DC-5DF8C94674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8393903" y="27559000"/>
          <a:ext cx="6775897" cy="8635585"/>
        </a:xfrm>
        <a:prstGeom prst="rect">
          <a:avLst/>
        </a:prstGeom>
      </xdr:spPr>
    </xdr:pic>
    <xdr:clientData/>
  </xdr:twoCellAnchor>
  <xdr:twoCellAnchor>
    <xdr:from>
      <xdr:col>7</xdr:col>
      <xdr:colOff>509924</xdr:colOff>
      <xdr:row>228</xdr:row>
      <xdr:rowOff>52916</xdr:rowOff>
    </xdr:from>
    <xdr:to>
      <xdr:col>7</xdr:col>
      <xdr:colOff>524356</xdr:colOff>
      <xdr:row>245</xdr:row>
      <xdr:rowOff>158750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62BA3F13-2D0B-991C-BD20-98312F724661}"/>
            </a:ext>
          </a:extLst>
        </xdr:cNvPr>
        <xdr:cNvCxnSpPr/>
      </xdr:nvCxnSpPr>
      <xdr:spPr>
        <a:xfrm flipV="1">
          <a:off x="13550202462" y="50073598"/>
          <a:ext cx="14432" cy="3540607"/>
        </a:xfrm>
        <a:prstGeom prst="line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548409</xdr:colOff>
      <xdr:row>238</xdr:row>
      <xdr:rowOff>105833</xdr:rowOff>
    </xdr:from>
    <xdr:to>
      <xdr:col>7</xdr:col>
      <xdr:colOff>755265</xdr:colOff>
      <xdr:row>238</xdr:row>
      <xdr:rowOff>110644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8D91ADDA-2BC6-7912-7719-6D6776EE7E7A}"/>
            </a:ext>
          </a:extLst>
        </xdr:cNvPr>
        <xdr:cNvCxnSpPr/>
      </xdr:nvCxnSpPr>
      <xdr:spPr>
        <a:xfrm flipV="1">
          <a:off x="13549971553" y="52146969"/>
          <a:ext cx="2689129" cy="4811"/>
        </a:xfrm>
        <a:prstGeom prst="line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279015</xdr:colOff>
      <xdr:row>242</xdr:row>
      <xdr:rowOff>125076</xdr:rowOff>
    </xdr:from>
    <xdr:to>
      <xdr:col>7</xdr:col>
      <xdr:colOff>529166</xdr:colOff>
      <xdr:row>242</xdr:row>
      <xdr:rowOff>134697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EA0AB35D-65E9-49FD-44A4-9790969769C0}"/>
            </a:ext>
          </a:extLst>
        </xdr:cNvPr>
        <xdr:cNvCxnSpPr/>
      </xdr:nvCxnSpPr>
      <xdr:spPr>
        <a:xfrm>
          <a:off x="13550197652" y="52974394"/>
          <a:ext cx="1077575" cy="9621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389658</xdr:colOff>
      <xdr:row>236</xdr:row>
      <xdr:rowOff>105834</xdr:rowOff>
    </xdr:from>
    <xdr:to>
      <xdr:col>6</xdr:col>
      <xdr:colOff>303068</xdr:colOff>
      <xdr:row>242</xdr:row>
      <xdr:rowOff>134697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224E4454-46FC-DF32-1FDE-1EA1277379D1}"/>
            </a:ext>
          </a:extLst>
        </xdr:cNvPr>
        <xdr:cNvCxnSpPr/>
      </xdr:nvCxnSpPr>
      <xdr:spPr>
        <a:xfrm flipV="1">
          <a:off x="13551251174" y="51742879"/>
          <a:ext cx="740834" cy="124113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202047</xdr:colOff>
      <xdr:row>242</xdr:row>
      <xdr:rowOff>38293</xdr:rowOff>
    </xdr:from>
    <xdr:ext cx="102747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3F6D0A05-64EE-534C-1C9B-00C8C10CD969}"/>
                </a:ext>
              </a:extLst>
            </xdr:cNvPr>
            <xdr:cNvSpPr txBox="1"/>
          </xdr:nvSpPr>
          <xdr:spPr>
            <a:xfrm>
              <a:off x="13549497300" y="52887611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3F6D0A05-64EE-534C-1C9B-00C8C10CD969}"/>
                </a:ext>
              </a:extLst>
            </xdr:cNvPr>
            <xdr:cNvSpPr txBox="1"/>
          </xdr:nvSpPr>
          <xdr:spPr>
            <a:xfrm>
              <a:off x="13549497300" y="52887611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452197</xdr:colOff>
      <xdr:row>236</xdr:row>
      <xdr:rowOff>96213</xdr:rowOff>
    </xdr:from>
    <xdr:to>
      <xdr:col>5</xdr:col>
      <xdr:colOff>399280</xdr:colOff>
      <xdr:row>236</xdr:row>
      <xdr:rowOff>110644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7209D5AE-CC98-9053-9600-4802B3AFC5EE}"/>
            </a:ext>
          </a:extLst>
        </xdr:cNvPr>
        <xdr:cNvCxnSpPr/>
      </xdr:nvCxnSpPr>
      <xdr:spPr>
        <a:xfrm>
          <a:off x="13551982386" y="51733258"/>
          <a:ext cx="774508" cy="14431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134699</xdr:colOff>
      <xdr:row>235</xdr:row>
      <xdr:rowOff>197041</xdr:rowOff>
    </xdr:from>
    <xdr:ext cx="102747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F4D684B9-322B-9A7A-5B0E-38C6E3BC002F}"/>
                </a:ext>
              </a:extLst>
            </xdr:cNvPr>
            <xdr:cNvSpPr txBox="1"/>
          </xdr:nvSpPr>
          <xdr:spPr>
            <a:xfrm>
              <a:off x="13549564648" y="51632041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F4D684B9-322B-9A7A-5B0E-38C6E3BC002F}"/>
                </a:ext>
              </a:extLst>
            </xdr:cNvPr>
            <xdr:cNvSpPr txBox="1"/>
          </xdr:nvSpPr>
          <xdr:spPr>
            <a:xfrm>
              <a:off x="13549564648" y="51632041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452196</xdr:colOff>
      <xdr:row>236</xdr:row>
      <xdr:rowOff>91402</xdr:rowOff>
    </xdr:from>
    <xdr:to>
      <xdr:col>7</xdr:col>
      <xdr:colOff>457007</xdr:colOff>
      <xdr:row>236</xdr:row>
      <xdr:rowOff>101023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E64686FB-85F5-98ED-8D5F-FBB677BE1850}"/>
            </a:ext>
          </a:extLst>
        </xdr:cNvPr>
        <xdr:cNvCxnSpPr/>
      </xdr:nvCxnSpPr>
      <xdr:spPr>
        <a:xfrm>
          <a:off x="13550269811" y="51728447"/>
          <a:ext cx="1659659" cy="962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673488</xdr:colOff>
      <xdr:row>238</xdr:row>
      <xdr:rowOff>105641</xdr:rowOff>
    </xdr:from>
    <xdr:ext cx="102747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B98D2530-0B4A-BFB5-C926-A44F5541F193}"/>
                </a:ext>
              </a:extLst>
            </xdr:cNvPr>
            <xdr:cNvSpPr txBox="1"/>
          </xdr:nvSpPr>
          <xdr:spPr>
            <a:xfrm>
              <a:off x="13550680707" y="52146777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B98D2530-0B4A-BFB5-C926-A44F5541F193}"/>
                </a:ext>
              </a:extLst>
            </xdr:cNvPr>
            <xdr:cNvSpPr txBox="1"/>
          </xdr:nvSpPr>
          <xdr:spPr>
            <a:xfrm>
              <a:off x="13550680707" y="52146777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70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331931</xdr:colOff>
      <xdr:row>239</xdr:row>
      <xdr:rowOff>115456</xdr:rowOff>
    </xdr:from>
    <xdr:to>
      <xdr:col>6</xdr:col>
      <xdr:colOff>331931</xdr:colOff>
      <xdr:row>242</xdr:row>
      <xdr:rowOff>120266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4DE0B92C-3C0F-8A62-AE06-77DEF626AFC5}"/>
            </a:ext>
          </a:extLst>
        </xdr:cNvPr>
        <xdr:cNvCxnSpPr/>
      </xdr:nvCxnSpPr>
      <xdr:spPr>
        <a:xfrm>
          <a:off x="13551222311" y="52358638"/>
          <a:ext cx="0" cy="610946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606140</xdr:colOff>
      <xdr:row>238</xdr:row>
      <xdr:rowOff>124884</xdr:rowOff>
    </xdr:from>
    <xdr:ext cx="102747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7546B7A3-6239-1970-C7FE-6269292115C3}"/>
                </a:ext>
              </a:extLst>
            </xdr:cNvPr>
            <xdr:cNvSpPr txBox="1"/>
          </xdr:nvSpPr>
          <xdr:spPr>
            <a:xfrm>
              <a:off x="13551575480" y="52166020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7546B7A3-6239-1970-C7FE-6269292115C3}"/>
                </a:ext>
              </a:extLst>
            </xdr:cNvPr>
            <xdr:cNvSpPr txBox="1"/>
          </xdr:nvSpPr>
          <xdr:spPr>
            <a:xfrm>
              <a:off x="13551575480" y="52166020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336741</xdr:colOff>
      <xdr:row>236</xdr:row>
      <xdr:rowOff>129887</xdr:rowOff>
    </xdr:from>
    <xdr:to>
      <xdr:col>5</xdr:col>
      <xdr:colOff>351173</xdr:colOff>
      <xdr:row>238</xdr:row>
      <xdr:rowOff>81780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BE80D124-C907-B59A-A6F4-E3BA6A6F1D0C}"/>
            </a:ext>
          </a:extLst>
        </xdr:cNvPr>
        <xdr:cNvCxnSpPr/>
      </xdr:nvCxnSpPr>
      <xdr:spPr>
        <a:xfrm flipH="1">
          <a:off x="13552030493" y="51766932"/>
          <a:ext cx="14432" cy="355984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81784</xdr:colOff>
      <xdr:row>238</xdr:row>
      <xdr:rowOff>139316</xdr:rowOff>
    </xdr:from>
    <xdr:ext cx="102747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C080F7E8-A09D-E010-3DA5-622B1E4DB9A8}"/>
                </a:ext>
              </a:extLst>
            </xdr:cNvPr>
            <xdr:cNvSpPr txBox="1"/>
          </xdr:nvSpPr>
          <xdr:spPr>
            <a:xfrm>
              <a:off x="13551272411" y="52180452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78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C080F7E8-A09D-E010-3DA5-622B1E4DB9A8}"/>
                </a:ext>
              </a:extLst>
            </xdr:cNvPr>
            <xdr:cNvSpPr txBox="1"/>
          </xdr:nvSpPr>
          <xdr:spPr>
            <a:xfrm>
              <a:off x="13551272411" y="52180452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78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569506</xdr:colOff>
      <xdr:row>330</xdr:row>
      <xdr:rowOff>22780</xdr:rowOff>
    </xdr:from>
    <xdr:to>
      <xdr:col>5</xdr:col>
      <xdr:colOff>597981</xdr:colOff>
      <xdr:row>345</xdr:row>
      <xdr:rowOff>113901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155F973B-9077-9BE8-E15D-28FBF05DFD7A}"/>
            </a:ext>
          </a:extLst>
        </xdr:cNvPr>
        <xdr:cNvCxnSpPr/>
      </xdr:nvCxnSpPr>
      <xdr:spPr>
        <a:xfrm flipH="1" flipV="1">
          <a:off x="13524930494" y="71279462"/>
          <a:ext cx="28475" cy="3166457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751748</xdr:colOff>
      <xdr:row>338</xdr:row>
      <xdr:rowOff>102511</xdr:rowOff>
    </xdr:from>
    <xdr:to>
      <xdr:col>6</xdr:col>
      <xdr:colOff>176546</xdr:colOff>
      <xdr:row>338</xdr:row>
      <xdr:rowOff>119597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82B292D3-3634-D2AB-2FED-553F6335C1A0}"/>
            </a:ext>
          </a:extLst>
        </xdr:cNvPr>
        <xdr:cNvCxnSpPr/>
      </xdr:nvCxnSpPr>
      <xdr:spPr>
        <a:xfrm>
          <a:off x="13524526144" y="72999372"/>
          <a:ext cx="3553722" cy="17086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341704</xdr:colOff>
      <xdr:row>333</xdr:row>
      <xdr:rowOff>68341</xdr:rowOff>
    </xdr:from>
    <xdr:to>
      <xdr:col>5</xdr:col>
      <xdr:colOff>592287</xdr:colOff>
      <xdr:row>341</xdr:row>
      <xdr:rowOff>17085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7BC0E55A-9C38-3B65-839D-79466EA8EDC9}"/>
            </a:ext>
          </a:extLst>
        </xdr:cNvPr>
        <xdr:cNvCxnSpPr/>
      </xdr:nvCxnSpPr>
      <xdr:spPr>
        <a:xfrm>
          <a:off x="13524936188" y="71940090"/>
          <a:ext cx="1076368" cy="158892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307533</xdr:colOff>
      <xdr:row>332</xdr:row>
      <xdr:rowOff>39866</xdr:rowOff>
    </xdr:from>
    <xdr:to>
      <xdr:col>3</xdr:col>
      <xdr:colOff>410045</xdr:colOff>
      <xdr:row>341</xdr:row>
      <xdr:rowOff>17085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1F6A7278-C477-2E6F-9301-6B7E17D2CF99}"/>
            </a:ext>
          </a:extLst>
        </xdr:cNvPr>
        <xdr:cNvCxnSpPr/>
      </xdr:nvCxnSpPr>
      <xdr:spPr>
        <a:xfrm flipH="1">
          <a:off x="13526770000" y="71706592"/>
          <a:ext cx="928296" cy="1822421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404350</xdr:colOff>
      <xdr:row>341</xdr:row>
      <xdr:rowOff>11390</xdr:rowOff>
    </xdr:from>
    <xdr:to>
      <xdr:col>4</xdr:col>
      <xdr:colOff>347399</xdr:colOff>
      <xdr:row>341</xdr:row>
      <xdr:rowOff>11390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0EB715F8-9F84-28DF-93B1-0562AB12DC3F}"/>
            </a:ext>
          </a:extLst>
        </xdr:cNvPr>
        <xdr:cNvCxnSpPr/>
      </xdr:nvCxnSpPr>
      <xdr:spPr>
        <a:xfrm>
          <a:off x="13526006861" y="73523318"/>
          <a:ext cx="768834" cy="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187937</xdr:colOff>
      <xdr:row>332</xdr:row>
      <xdr:rowOff>189191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770EBA9E-CD58-C363-7544-7998609631C4}"/>
                </a:ext>
              </a:extLst>
            </xdr:cNvPr>
            <xdr:cNvSpPr txBox="1"/>
          </xdr:nvSpPr>
          <xdr:spPr>
            <a:xfrm>
              <a:off x="13524276609" y="71855917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770EBA9E-CD58-C363-7544-7998609631C4}"/>
                </a:ext>
              </a:extLst>
            </xdr:cNvPr>
            <xdr:cNvSpPr txBox="1"/>
          </xdr:nvSpPr>
          <xdr:spPr>
            <a:xfrm>
              <a:off x="13524276609" y="71855917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205023</xdr:colOff>
      <xdr:row>338</xdr:row>
      <xdr:rowOff>149325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7E152AC6-E206-0C7E-09FB-1375BC6F822F}"/>
                </a:ext>
              </a:extLst>
            </xdr:cNvPr>
            <xdr:cNvSpPr txBox="1"/>
          </xdr:nvSpPr>
          <xdr:spPr>
            <a:xfrm>
              <a:off x="13525085308" y="73046186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7E152AC6-E206-0C7E-09FB-1375BC6F822F}"/>
                </a:ext>
              </a:extLst>
            </xdr:cNvPr>
            <xdr:cNvSpPr txBox="1"/>
          </xdr:nvSpPr>
          <xdr:spPr>
            <a:xfrm>
              <a:off x="13525085308" y="73046186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290449</xdr:colOff>
      <xdr:row>338</xdr:row>
      <xdr:rowOff>115154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DC35F666-7FF9-BCAE-3B53-ED816CD50F60}"/>
                </a:ext>
              </a:extLst>
            </xdr:cNvPr>
            <xdr:cNvSpPr txBox="1"/>
          </xdr:nvSpPr>
          <xdr:spPr>
            <a:xfrm>
              <a:off x="13526651451" y="73012015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78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DC35F666-7FF9-BCAE-3B53-ED816CD50F60}"/>
                </a:ext>
              </a:extLst>
            </xdr:cNvPr>
            <xdr:cNvSpPr txBox="1"/>
          </xdr:nvSpPr>
          <xdr:spPr>
            <a:xfrm>
              <a:off x="13526651451" y="73012015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78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740360</xdr:colOff>
      <xdr:row>337</xdr:row>
      <xdr:rowOff>132239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84B86DA2-AC6C-ABC9-B561-818E2218A371}"/>
                </a:ext>
              </a:extLst>
            </xdr:cNvPr>
            <xdr:cNvSpPr txBox="1"/>
          </xdr:nvSpPr>
          <xdr:spPr>
            <a:xfrm>
              <a:off x="13526201540" y="72824078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84B86DA2-AC6C-ABC9-B561-818E2218A371}"/>
                </a:ext>
              </a:extLst>
            </xdr:cNvPr>
            <xdr:cNvSpPr txBox="1"/>
          </xdr:nvSpPr>
          <xdr:spPr>
            <a:xfrm>
              <a:off x="13526201540" y="72824078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654936</xdr:colOff>
      <xdr:row>337</xdr:row>
      <xdr:rowOff>137934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4075D56E-1666-E85A-963D-E91B41CBA33F}"/>
                </a:ext>
              </a:extLst>
            </xdr:cNvPr>
            <xdr:cNvSpPr txBox="1"/>
          </xdr:nvSpPr>
          <xdr:spPr>
            <a:xfrm>
              <a:off x="13525461180" y="72829773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4075D56E-1666-E85A-963D-E91B41CBA33F}"/>
                </a:ext>
              </a:extLst>
            </xdr:cNvPr>
            <xdr:cNvSpPr txBox="1"/>
          </xdr:nvSpPr>
          <xdr:spPr>
            <a:xfrm>
              <a:off x="13525461180" y="72829773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279058</xdr:colOff>
      <xdr:row>340</xdr:row>
      <xdr:rowOff>149325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FB6215E3-0AF9-B640-0FD2-D259C10A31E8}"/>
                </a:ext>
              </a:extLst>
            </xdr:cNvPr>
            <xdr:cNvSpPr txBox="1"/>
          </xdr:nvSpPr>
          <xdr:spPr>
            <a:xfrm>
              <a:off x="13524185488" y="73456231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−18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FB6215E3-0AF9-B640-0FD2-D259C10A31E8}"/>
                </a:ext>
              </a:extLst>
            </xdr:cNvPr>
            <xdr:cNvSpPr txBox="1"/>
          </xdr:nvSpPr>
          <xdr:spPr>
            <a:xfrm>
              <a:off x="13524185488" y="73456231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−18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336009</xdr:colOff>
      <xdr:row>338</xdr:row>
      <xdr:rowOff>105139</xdr:rowOff>
    </xdr:from>
    <xdr:to>
      <xdr:col>4</xdr:col>
      <xdr:colOff>361115</xdr:colOff>
      <xdr:row>341</xdr:row>
      <xdr:rowOff>11390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ADE3E9E6-42F5-D425-0F12-2681F0D5664C}"/>
            </a:ext>
          </a:extLst>
        </xdr:cNvPr>
        <xdr:cNvCxnSpPr>
          <a:stCxn id="33" idx="2"/>
        </xdr:cNvCxnSpPr>
      </xdr:nvCxnSpPr>
      <xdr:spPr>
        <a:xfrm>
          <a:off x="13525993145" y="73002000"/>
          <a:ext cx="25106" cy="52131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410045</xdr:colOff>
      <xdr:row>338</xdr:row>
      <xdr:rowOff>133615</xdr:rowOff>
    </xdr:from>
    <xdr:to>
      <xdr:col>3</xdr:col>
      <xdr:colOff>435151</xdr:colOff>
      <xdr:row>341</xdr:row>
      <xdr:rowOff>39866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855CB56F-45F7-56B4-F249-7DC32F7CEA53}"/>
            </a:ext>
          </a:extLst>
        </xdr:cNvPr>
        <xdr:cNvCxnSpPr/>
      </xdr:nvCxnSpPr>
      <xdr:spPr>
        <a:xfrm>
          <a:off x="13526744894" y="73030476"/>
          <a:ext cx="25106" cy="52131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569506</xdr:colOff>
      <xdr:row>409</xdr:row>
      <xdr:rowOff>22780</xdr:rowOff>
    </xdr:from>
    <xdr:to>
      <xdr:col>5</xdr:col>
      <xdr:colOff>597981</xdr:colOff>
      <xdr:row>424</xdr:row>
      <xdr:rowOff>113901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417EBA07-C7E9-064A-890D-DA907D32A4BF}"/>
            </a:ext>
          </a:extLst>
        </xdr:cNvPr>
        <xdr:cNvCxnSpPr/>
      </xdr:nvCxnSpPr>
      <xdr:spPr>
        <a:xfrm flipH="1" flipV="1">
          <a:off x="13542713997" y="70402708"/>
          <a:ext cx="28475" cy="3106229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751748</xdr:colOff>
      <xdr:row>417</xdr:row>
      <xdr:rowOff>102511</xdr:rowOff>
    </xdr:from>
    <xdr:to>
      <xdr:col>6</xdr:col>
      <xdr:colOff>176546</xdr:colOff>
      <xdr:row>417</xdr:row>
      <xdr:rowOff>119597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080BFFE7-0255-0843-B881-80F6339FF68D}"/>
            </a:ext>
          </a:extLst>
        </xdr:cNvPr>
        <xdr:cNvCxnSpPr/>
      </xdr:nvCxnSpPr>
      <xdr:spPr>
        <a:xfrm>
          <a:off x="13542308562" y="72090497"/>
          <a:ext cx="3559150" cy="17086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557338</xdr:colOff>
      <xdr:row>413</xdr:row>
      <xdr:rowOff>31978</xdr:rowOff>
    </xdr:from>
    <xdr:to>
      <xdr:col>4</xdr:col>
      <xdr:colOff>341704</xdr:colOff>
      <xdr:row>420</xdr:row>
      <xdr:rowOff>17085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9428AB17-CB0C-F64D-87DD-E598A9B35C7D}"/>
            </a:ext>
          </a:extLst>
        </xdr:cNvPr>
        <xdr:cNvCxnSpPr/>
      </xdr:nvCxnSpPr>
      <xdr:spPr>
        <a:xfrm flipH="1">
          <a:off x="13543797145" y="82527158"/>
          <a:ext cx="611236" cy="139215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666978</xdr:colOff>
      <xdr:row>413</xdr:row>
      <xdr:rowOff>27410</xdr:rowOff>
    </xdr:from>
    <xdr:to>
      <xdr:col>3</xdr:col>
      <xdr:colOff>557338</xdr:colOff>
      <xdr:row>419</xdr:row>
      <xdr:rowOff>196439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5EAF9823-0A3D-F24A-A964-484A266AD6D8}"/>
            </a:ext>
          </a:extLst>
        </xdr:cNvPr>
        <xdr:cNvCxnSpPr/>
      </xdr:nvCxnSpPr>
      <xdr:spPr>
        <a:xfrm>
          <a:off x="13544408381" y="82522590"/>
          <a:ext cx="717231" cy="137507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350658</xdr:colOff>
      <xdr:row>417</xdr:row>
      <xdr:rowOff>155324</xdr:rowOff>
    </xdr:from>
    <xdr:to>
      <xdr:col>4</xdr:col>
      <xdr:colOff>351763</xdr:colOff>
      <xdr:row>420</xdr:row>
      <xdr:rowOff>26162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4356BB72-3823-3F4A-ACFF-AB2DAA536A7E}"/>
            </a:ext>
          </a:extLst>
        </xdr:cNvPr>
        <xdr:cNvCxnSpPr/>
      </xdr:nvCxnSpPr>
      <xdr:spPr>
        <a:xfrm>
          <a:off x="13543787086" y="83454533"/>
          <a:ext cx="1105" cy="4738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326689</xdr:colOff>
      <xdr:row>420</xdr:row>
      <xdr:rowOff>9137</xdr:rowOff>
    </xdr:from>
    <xdr:to>
      <xdr:col>5</xdr:col>
      <xdr:colOff>575611</xdr:colOff>
      <xdr:row>420</xdr:row>
      <xdr:rowOff>11390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3C166A7D-09AA-3986-6785-3E1BD39BFE2D}"/>
            </a:ext>
          </a:extLst>
        </xdr:cNvPr>
        <xdr:cNvCxnSpPr/>
      </xdr:nvCxnSpPr>
      <xdr:spPr>
        <a:xfrm>
          <a:off x="13542736367" y="83911367"/>
          <a:ext cx="1075793" cy="225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422624</xdr:colOff>
      <xdr:row>419</xdr:row>
      <xdr:rowOff>196440</xdr:rowOff>
    </xdr:from>
    <xdr:to>
      <xdr:col>2</xdr:col>
      <xdr:colOff>671547</xdr:colOff>
      <xdr:row>419</xdr:row>
      <xdr:rowOff>198693</xdr:rowOff>
    </xdr:to>
    <xdr:cxnSp macro="">
      <xdr:nvCxnSpPr>
        <xdr:cNvPr id="57" name="Straight Connector 56">
          <a:extLst>
            <a:ext uri="{FF2B5EF4-FFF2-40B4-BE49-F238E27FC236}">
              <a16:creationId xmlns:a16="http://schemas.microsoft.com/office/drawing/2014/main" id="{90F5B8E8-12AE-BD4A-8D9C-0266E9204B0C}"/>
            </a:ext>
          </a:extLst>
        </xdr:cNvPr>
        <xdr:cNvCxnSpPr/>
      </xdr:nvCxnSpPr>
      <xdr:spPr>
        <a:xfrm>
          <a:off x="13545121043" y="83897663"/>
          <a:ext cx="1075793" cy="225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692463</xdr:colOff>
      <xdr:row>416</xdr:row>
      <xdr:rowOff>156270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74FE91D7-DE45-E729-C712-937D5071E2EC}"/>
                </a:ext>
              </a:extLst>
            </xdr:cNvPr>
            <xdr:cNvSpPr txBox="1"/>
          </xdr:nvSpPr>
          <xdr:spPr>
            <a:xfrm>
              <a:off x="13543209327" y="83254471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74FE91D7-DE45-E729-C712-937D5071E2EC}"/>
                </a:ext>
              </a:extLst>
            </xdr:cNvPr>
            <xdr:cNvSpPr txBox="1"/>
          </xdr:nvSpPr>
          <xdr:spPr>
            <a:xfrm>
              <a:off x="13543209327" y="83254471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811240</xdr:colOff>
      <xdr:row>417</xdr:row>
      <xdr:rowOff>119723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644F6151-68DA-4A3F-1EBA-092205DB2FE1}"/>
                </a:ext>
              </a:extLst>
            </xdr:cNvPr>
            <xdr:cNvSpPr txBox="1"/>
          </xdr:nvSpPr>
          <xdr:spPr>
            <a:xfrm>
              <a:off x="13543917421" y="83418932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644F6151-68DA-4A3F-1EBA-092205DB2FE1}"/>
                </a:ext>
              </a:extLst>
            </xdr:cNvPr>
            <xdr:cNvSpPr txBox="1"/>
          </xdr:nvSpPr>
          <xdr:spPr>
            <a:xfrm>
              <a:off x="13543917421" y="83418932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523309</xdr:colOff>
      <xdr:row>413</xdr:row>
      <xdr:rowOff>59388</xdr:rowOff>
    </xdr:from>
    <xdr:to>
      <xdr:col>3</xdr:col>
      <xdr:colOff>552769</xdr:colOff>
      <xdr:row>417</xdr:row>
      <xdr:rowOff>139304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53A7465D-AFAC-6948-DDE0-34189E319EEA}"/>
            </a:ext>
          </a:extLst>
        </xdr:cNvPr>
        <xdr:cNvCxnSpPr/>
      </xdr:nvCxnSpPr>
      <xdr:spPr>
        <a:xfrm>
          <a:off x="13544412950" y="82554568"/>
          <a:ext cx="29460" cy="883945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112284</xdr:colOff>
      <xdr:row>416</xdr:row>
      <xdr:rowOff>142565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445CC1EA-1DDE-3262-F934-C020FF6BEDA0}"/>
                </a:ext>
              </a:extLst>
            </xdr:cNvPr>
            <xdr:cNvSpPr txBox="1"/>
          </xdr:nvSpPr>
          <xdr:spPr>
            <a:xfrm>
              <a:off x="13544616377" y="83240766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445CC1EA-1DDE-3262-F934-C020FF6BEDA0}"/>
                </a:ext>
              </a:extLst>
            </xdr:cNvPr>
            <xdr:cNvSpPr txBox="1"/>
          </xdr:nvSpPr>
          <xdr:spPr>
            <a:xfrm>
              <a:off x="13544616377" y="83240766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652169</xdr:colOff>
      <xdr:row>417</xdr:row>
      <xdr:rowOff>127913</xdr:rowOff>
    </xdr:from>
    <xdr:to>
      <xdr:col>2</xdr:col>
      <xdr:colOff>653274</xdr:colOff>
      <xdr:row>419</xdr:row>
      <xdr:rowOff>199758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1980C01D-DD50-FF19-947A-88C626078D01}"/>
            </a:ext>
          </a:extLst>
        </xdr:cNvPr>
        <xdr:cNvCxnSpPr/>
      </xdr:nvCxnSpPr>
      <xdr:spPr>
        <a:xfrm>
          <a:off x="13545139316" y="83427122"/>
          <a:ext cx="1105" cy="4738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200454</xdr:colOff>
      <xdr:row>419</xdr:row>
      <xdr:rowOff>117347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3E445D99-7924-1533-E541-929CC1EABBA2}"/>
                </a:ext>
              </a:extLst>
            </xdr:cNvPr>
            <xdr:cNvSpPr txBox="1"/>
          </xdr:nvSpPr>
          <xdr:spPr>
            <a:xfrm>
              <a:off x="13542047595" y="85426628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3E445D99-7924-1533-E541-929CC1EABBA2}"/>
                </a:ext>
              </a:extLst>
            </xdr:cNvPr>
            <xdr:cNvSpPr txBox="1"/>
          </xdr:nvSpPr>
          <xdr:spPr>
            <a:xfrm>
              <a:off x="13542047595" y="85426628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532445</xdr:colOff>
      <xdr:row>413</xdr:row>
      <xdr:rowOff>45684</xdr:rowOff>
    </xdr:from>
    <xdr:to>
      <xdr:col>5</xdr:col>
      <xdr:colOff>589316</xdr:colOff>
      <xdr:row>413</xdr:row>
      <xdr:rowOff>47937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18BD6C7A-B9B7-9D9A-082B-395B9D6B00BE}"/>
            </a:ext>
          </a:extLst>
        </xdr:cNvPr>
        <xdr:cNvCxnSpPr/>
      </xdr:nvCxnSpPr>
      <xdr:spPr>
        <a:xfrm>
          <a:off x="13542722662" y="84952950"/>
          <a:ext cx="1710612" cy="2253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208218</xdr:colOff>
      <xdr:row>412</xdr:row>
      <xdr:rowOff>156270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8834948A-87FE-8EE0-2F6A-2E456DBB027F}"/>
                </a:ext>
              </a:extLst>
            </xdr:cNvPr>
            <xdr:cNvSpPr txBox="1"/>
          </xdr:nvSpPr>
          <xdr:spPr>
            <a:xfrm>
              <a:off x="13542039831" y="84862529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8834948A-87FE-8EE0-2F6A-2E456DBB027F}"/>
                </a:ext>
              </a:extLst>
            </xdr:cNvPr>
            <xdr:cNvSpPr txBox="1"/>
          </xdr:nvSpPr>
          <xdr:spPr>
            <a:xfrm>
              <a:off x="13542039831" y="84862529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340700</xdr:colOff>
      <xdr:row>417</xdr:row>
      <xdr:rowOff>106018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FA3B2B02-BFCE-9CC3-A928-DBB0EACFC16A}"/>
                </a:ext>
              </a:extLst>
            </xdr:cNvPr>
            <xdr:cNvSpPr txBox="1"/>
          </xdr:nvSpPr>
          <xdr:spPr>
            <a:xfrm>
              <a:off x="13543561090" y="86219327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FA3B2B02-BFCE-9CC3-A928-DBB0EACFC16A}"/>
                </a:ext>
              </a:extLst>
            </xdr:cNvPr>
            <xdr:cNvSpPr txBox="1"/>
          </xdr:nvSpPr>
          <xdr:spPr>
            <a:xfrm>
              <a:off x="13543561090" y="86219327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473182</xdr:colOff>
      <xdr:row>417</xdr:row>
      <xdr:rowOff>110586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D29D6915-2D8F-778C-C3B3-FDB53801169B}"/>
                </a:ext>
              </a:extLst>
            </xdr:cNvPr>
            <xdr:cNvSpPr txBox="1"/>
          </xdr:nvSpPr>
          <xdr:spPr>
            <a:xfrm>
              <a:off x="13544255479" y="86223895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D29D6915-2D8F-778C-C3B3-FDB53801169B}"/>
                </a:ext>
              </a:extLst>
            </xdr:cNvPr>
            <xdr:cNvSpPr txBox="1"/>
          </xdr:nvSpPr>
          <xdr:spPr>
            <a:xfrm>
              <a:off x="13544255479" y="86223895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589316</xdr:colOff>
      <xdr:row>443</xdr:row>
      <xdr:rowOff>22780</xdr:rowOff>
    </xdr:from>
    <xdr:to>
      <xdr:col>5</xdr:col>
      <xdr:colOff>597981</xdr:colOff>
      <xdr:row>464</xdr:row>
      <xdr:rowOff>13705</xdr:rowOff>
    </xdr:to>
    <xdr:cxnSp macro="">
      <xdr:nvCxnSpPr>
        <xdr:cNvPr id="73" name="Straight Arrow Connector 72">
          <a:extLst>
            <a:ext uri="{FF2B5EF4-FFF2-40B4-BE49-F238E27FC236}">
              <a16:creationId xmlns:a16="http://schemas.microsoft.com/office/drawing/2014/main" id="{4B3993C4-BA5B-2B43-8020-51EBB4069EFC}"/>
            </a:ext>
          </a:extLst>
        </xdr:cNvPr>
        <xdr:cNvCxnSpPr/>
      </xdr:nvCxnSpPr>
      <xdr:spPr>
        <a:xfrm flipH="1" flipV="1">
          <a:off x="13542713997" y="91389686"/>
          <a:ext cx="8665" cy="4212077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751748</xdr:colOff>
      <xdr:row>451</xdr:row>
      <xdr:rowOff>102511</xdr:rowOff>
    </xdr:from>
    <xdr:to>
      <xdr:col>6</xdr:col>
      <xdr:colOff>176546</xdr:colOff>
      <xdr:row>451</xdr:row>
      <xdr:rowOff>119597</xdr:rowOff>
    </xdr:to>
    <xdr:cxnSp macro="">
      <xdr:nvCxnSpPr>
        <xdr:cNvPr id="74" name="Straight Arrow Connector 73">
          <a:extLst>
            <a:ext uri="{FF2B5EF4-FFF2-40B4-BE49-F238E27FC236}">
              <a16:creationId xmlns:a16="http://schemas.microsoft.com/office/drawing/2014/main" id="{5ABB7455-BF04-A64B-81AC-8AD6F7335746}"/>
            </a:ext>
          </a:extLst>
        </xdr:cNvPr>
        <xdr:cNvCxnSpPr/>
      </xdr:nvCxnSpPr>
      <xdr:spPr>
        <a:xfrm>
          <a:off x="13542308562" y="86215820"/>
          <a:ext cx="3559150" cy="17086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465971</xdr:colOff>
      <xdr:row>447</xdr:row>
      <xdr:rowOff>27410</xdr:rowOff>
    </xdr:from>
    <xdr:to>
      <xdr:col>5</xdr:col>
      <xdr:colOff>580179</xdr:colOff>
      <xdr:row>463</xdr:row>
      <xdr:rowOff>77662</xdr:rowOff>
    </xdr:to>
    <xdr:grpSp>
      <xdr:nvGrpSpPr>
        <xdr:cNvPr id="94" name="Group 93">
          <a:extLst>
            <a:ext uri="{FF2B5EF4-FFF2-40B4-BE49-F238E27FC236}">
              <a16:creationId xmlns:a16="http://schemas.microsoft.com/office/drawing/2014/main" id="{F9736EF9-239F-0D7E-7FEF-A4E903EA0C8E}"/>
            </a:ext>
          </a:extLst>
        </xdr:cNvPr>
        <xdr:cNvGrpSpPr/>
      </xdr:nvGrpSpPr>
      <xdr:grpSpPr>
        <a:xfrm>
          <a:off x="13498808022" y="91160212"/>
          <a:ext cx="3410963" cy="3287067"/>
          <a:chOff x="13520284321" y="94376865"/>
          <a:chExt cx="3416208" cy="3282979"/>
        </a:xfrm>
      </xdr:grpSpPr>
      <xdr:cxnSp macro="">
        <xdr:nvCxnSpPr>
          <xdr:cNvPr id="75" name="Straight Connector 74">
            <a:extLst>
              <a:ext uri="{FF2B5EF4-FFF2-40B4-BE49-F238E27FC236}">
                <a16:creationId xmlns:a16="http://schemas.microsoft.com/office/drawing/2014/main" id="{58A9D6D1-7104-A340-9433-E005FB3F4BF5}"/>
              </a:ext>
            </a:extLst>
          </xdr:cNvPr>
          <xdr:cNvCxnSpPr/>
        </xdr:nvCxnSpPr>
        <xdr:spPr>
          <a:xfrm flipH="1">
            <a:off x="13520284321" y="94381433"/>
            <a:ext cx="1673841" cy="3278411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6" name="Straight Connector 75">
            <a:extLst>
              <a:ext uri="{FF2B5EF4-FFF2-40B4-BE49-F238E27FC236}">
                <a16:creationId xmlns:a16="http://schemas.microsoft.com/office/drawing/2014/main" id="{8E6DF225-12A8-4F4B-B5D2-6FB74D14A5E4}"/>
              </a:ext>
            </a:extLst>
          </xdr:cNvPr>
          <xdr:cNvCxnSpPr/>
        </xdr:nvCxnSpPr>
        <xdr:spPr>
          <a:xfrm>
            <a:off x="13521958162" y="94376865"/>
            <a:ext cx="1742367" cy="3199710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</xdr:grp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631825</xdr:colOff>
      <xdr:row>2</xdr:row>
      <xdr:rowOff>23151</xdr:rowOff>
    </xdr:from>
    <xdr:to>
      <xdr:col>7</xdr:col>
      <xdr:colOff>295275</xdr:colOff>
      <xdr:row>8</xdr:row>
      <xdr:rowOff>41275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0DCEC9E-62C8-5BCF-1AE9-6DB6748461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8918225" y="6538251"/>
          <a:ext cx="3790950" cy="1237324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601133</xdr:colOff>
      <xdr:row>249</xdr:row>
      <xdr:rowOff>160866</xdr:rowOff>
    </xdr:from>
    <xdr:to>
      <xdr:col>4</xdr:col>
      <xdr:colOff>601133</xdr:colOff>
      <xdr:row>259</xdr:row>
      <xdr:rowOff>93133</xdr:rowOff>
    </xdr:to>
    <xdr:cxnSp macro="">
      <xdr:nvCxnSpPr>
        <xdr:cNvPr id="2" name="Straight Arrow Connector 1">
          <a:extLst>
            <a:ext uri="{FF2B5EF4-FFF2-40B4-BE49-F238E27FC236}">
              <a16:creationId xmlns:a16="http://schemas.microsoft.com/office/drawing/2014/main" id="{E52D36E8-F4DF-4343-82D1-05B5E2A8734C}"/>
            </a:ext>
          </a:extLst>
        </xdr:cNvPr>
        <xdr:cNvCxnSpPr/>
      </xdr:nvCxnSpPr>
      <xdr:spPr>
        <a:xfrm flipV="1">
          <a:off x="13521088867" y="54694666"/>
          <a:ext cx="0" cy="1964267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465666</xdr:colOff>
      <xdr:row>255</xdr:row>
      <xdr:rowOff>110066</xdr:rowOff>
    </xdr:from>
    <xdr:to>
      <xdr:col>5</xdr:col>
      <xdr:colOff>313266</xdr:colOff>
      <xdr:row>255</xdr:row>
      <xdr:rowOff>110066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041FFB26-FF06-F343-A071-68F27C29DCF1}"/>
            </a:ext>
          </a:extLst>
        </xdr:cNvPr>
        <xdr:cNvCxnSpPr/>
      </xdr:nvCxnSpPr>
      <xdr:spPr>
        <a:xfrm>
          <a:off x="13520551234" y="55863066"/>
          <a:ext cx="2324100" cy="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745066</xdr:colOff>
      <xdr:row>251</xdr:row>
      <xdr:rowOff>110066</xdr:rowOff>
    </xdr:from>
    <xdr:to>
      <xdr:col>4</xdr:col>
      <xdr:colOff>609600</xdr:colOff>
      <xdr:row>251</xdr:row>
      <xdr:rowOff>110066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22BB7D91-6D51-4841-94FC-81874970DA6F}"/>
            </a:ext>
          </a:extLst>
        </xdr:cNvPr>
        <xdr:cNvCxnSpPr/>
      </xdr:nvCxnSpPr>
      <xdr:spPr>
        <a:xfrm>
          <a:off x="13521080400" y="55050266"/>
          <a:ext cx="690034" cy="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152400</xdr:colOff>
      <xdr:row>251</xdr:row>
      <xdr:rowOff>110066</xdr:rowOff>
    </xdr:from>
    <xdr:to>
      <xdr:col>3</xdr:col>
      <xdr:colOff>761999</xdr:colOff>
      <xdr:row>257</xdr:row>
      <xdr:rowOff>84666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6F1E2F21-8F02-F540-A180-A495AC46D724}"/>
            </a:ext>
          </a:extLst>
        </xdr:cNvPr>
        <xdr:cNvCxnSpPr/>
      </xdr:nvCxnSpPr>
      <xdr:spPr>
        <a:xfrm>
          <a:off x="13521753501" y="55050266"/>
          <a:ext cx="609599" cy="11938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287865</xdr:colOff>
      <xdr:row>257</xdr:row>
      <xdr:rowOff>93132</xdr:rowOff>
    </xdr:from>
    <xdr:to>
      <xdr:col>3</xdr:col>
      <xdr:colOff>152399</xdr:colOff>
      <xdr:row>257</xdr:row>
      <xdr:rowOff>93132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99989852-9B83-4B4F-944A-94795FE496F0}"/>
            </a:ext>
          </a:extLst>
        </xdr:cNvPr>
        <xdr:cNvCxnSpPr/>
      </xdr:nvCxnSpPr>
      <xdr:spPr>
        <a:xfrm>
          <a:off x="13522363101" y="56252532"/>
          <a:ext cx="690034" cy="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764248</xdr:colOff>
      <xdr:row>251</xdr:row>
      <xdr:rowOff>134867</xdr:rowOff>
    </xdr:from>
    <xdr:to>
      <xdr:col>3</xdr:col>
      <xdr:colOff>786725</xdr:colOff>
      <xdr:row>255</xdr:row>
      <xdr:rowOff>89912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A7F43851-920F-9144-AABD-1D1D4B57FE77}"/>
            </a:ext>
          </a:extLst>
        </xdr:cNvPr>
        <xdr:cNvCxnSpPr/>
      </xdr:nvCxnSpPr>
      <xdr:spPr>
        <a:xfrm>
          <a:off x="13521728775" y="55075067"/>
          <a:ext cx="22477" cy="767845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646239</xdr:colOff>
      <xdr:row>255</xdr:row>
      <xdr:rowOff>129248</xdr:rowOff>
    </xdr:from>
    <xdr:to>
      <xdr:col>4</xdr:col>
      <xdr:colOff>275354</xdr:colOff>
      <xdr:row>256</xdr:row>
      <xdr:rowOff>95531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46C27081-7521-5F46-90E1-DF583797D441}"/>
            </a:ext>
          </a:extLst>
        </xdr:cNvPr>
        <xdr:cNvSpPr txBox="1"/>
      </xdr:nvSpPr>
      <xdr:spPr>
        <a:xfrm>
          <a:off x="13521414646" y="55882248"/>
          <a:ext cx="454615" cy="16948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 rtl="1"/>
          <a:r>
            <a:rPr lang="he-IL" sz="700"/>
            <a:t>1750</a:t>
          </a:r>
          <a:endParaRPr lang="en-US" sz="700"/>
        </a:p>
      </xdr:txBody>
    </xdr:sp>
    <xdr:clientData/>
  </xdr:twoCellAnchor>
  <xdr:twoCellAnchor>
    <xdr:from>
      <xdr:col>2</xdr:col>
      <xdr:colOff>724912</xdr:colOff>
      <xdr:row>254</xdr:row>
      <xdr:rowOff>129248</xdr:rowOff>
    </xdr:from>
    <xdr:to>
      <xdr:col>3</xdr:col>
      <xdr:colOff>354027</xdr:colOff>
      <xdr:row>255</xdr:row>
      <xdr:rowOff>95531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5BC25B78-DA1F-A849-9E8E-4DAFE08DB2B2}"/>
            </a:ext>
          </a:extLst>
        </xdr:cNvPr>
        <xdr:cNvSpPr txBox="1"/>
      </xdr:nvSpPr>
      <xdr:spPr>
        <a:xfrm>
          <a:off x="13522161473" y="55679048"/>
          <a:ext cx="454615" cy="16948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 rtl="1"/>
          <a:r>
            <a:rPr lang="he-IL" sz="700"/>
            <a:t>1820</a:t>
          </a:r>
          <a:endParaRPr lang="en-US" sz="700"/>
        </a:p>
      </xdr:txBody>
    </xdr:sp>
    <xdr:clientData/>
  </xdr:twoCellAnchor>
  <xdr:twoCellAnchor>
    <xdr:from>
      <xdr:col>3</xdr:col>
      <xdr:colOff>140487</xdr:colOff>
      <xdr:row>255</xdr:row>
      <xdr:rowOff>151726</xdr:rowOff>
    </xdr:from>
    <xdr:to>
      <xdr:col>3</xdr:col>
      <xdr:colOff>146106</xdr:colOff>
      <xdr:row>257</xdr:row>
      <xdr:rowOff>118009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88D7DABD-9181-1048-9064-B04A438DCA85}"/>
            </a:ext>
          </a:extLst>
        </xdr:cNvPr>
        <xdr:cNvCxnSpPr/>
      </xdr:nvCxnSpPr>
      <xdr:spPr>
        <a:xfrm>
          <a:off x="13522369394" y="55904726"/>
          <a:ext cx="5619" cy="372683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583076</xdr:colOff>
      <xdr:row>251</xdr:row>
      <xdr:rowOff>33717</xdr:rowOff>
    </xdr:from>
    <xdr:to>
      <xdr:col>5</xdr:col>
      <xdr:colOff>588694</xdr:colOff>
      <xdr:row>258</xdr:row>
      <xdr:rowOff>56194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2A2D0D9D-C612-1B4F-89FD-8F5198BF6EBF}"/>
            </a:ext>
          </a:extLst>
        </xdr:cNvPr>
        <xdr:cNvCxnSpPr/>
      </xdr:nvCxnSpPr>
      <xdr:spPr>
        <a:xfrm>
          <a:off x="13520275806" y="18347117"/>
          <a:ext cx="5618" cy="1444877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614601</xdr:colOff>
      <xdr:row>254</xdr:row>
      <xdr:rowOff>36639</xdr:rowOff>
    </xdr:from>
    <xdr:to>
      <xdr:col>6</xdr:col>
      <xdr:colOff>244278</xdr:colOff>
      <xdr:row>255</xdr:row>
      <xdr:rowOff>2023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B16132FA-52AE-8447-B473-16B263207250}"/>
            </a:ext>
          </a:extLst>
        </xdr:cNvPr>
        <xdr:cNvSpPr txBox="1"/>
      </xdr:nvSpPr>
      <xdr:spPr>
        <a:xfrm>
          <a:off x="13519794722" y="18959639"/>
          <a:ext cx="455177" cy="16858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 rtl="1"/>
          <a:r>
            <a:rPr lang="he-IL" sz="700"/>
            <a:t>7,000-</a:t>
          </a:r>
          <a:endParaRPr lang="en-US" sz="700"/>
        </a:p>
      </xdr:txBody>
    </xdr:sp>
    <xdr:clientData/>
  </xdr:twoCellAnchor>
  <xdr:twoCellAnchor>
    <xdr:from>
      <xdr:col>3</xdr:col>
      <xdr:colOff>140487</xdr:colOff>
      <xdr:row>258</xdr:row>
      <xdr:rowOff>118008</xdr:rowOff>
    </xdr:from>
    <xdr:to>
      <xdr:col>3</xdr:col>
      <xdr:colOff>792345</xdr:colOff>
      <xdr:row>258</xdr:row>
      <xdr:rowOff>129248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2F4A2227-B044-4341-BB92-C75909172673}"/>
            </a:ext>
          </a:extLst>
        </xdr:cNvPr>
        <xdr:cNvCxnSpPr/>
      </xdr:nvCxnSpPr>
      <xdr:spPr>
        <a:xfrm>
          <a:off x="13521723155" y="56480608"/>
          <a:ext cx="651858" cy="1124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258496</xdr:colOff>
      <xdr:row>258</xdr:row>
      <xdr:rowOff>157345</xdr:rowOff>
    </xdr:from>
    <xdr:to>
      <xdr:col>3</xdr:col>
      <xdr:colOff>713673</xdr:colOff>
      <xdr:row>259</xdr:row>
      <xdr:rowOff>123628</xdr:rowOff>
    </xdr:to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13755198-6244-9A4A-9E06-AD4F5EE71AAC}"/>
            </a:ext>
          </a:extLst>
        </xdr:cNvPr>
        <xdr:cNvSpPr txBox="1"/>
      </xdr:nvSpPr>
      <xdr:spPr>
        <a:xfrm>
          <a:off x="13521801827" y="56519945"/>
          <a:ext cx="455177" cy="16948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 rtl="1"/>
          <a:r>
            <a:rPr lang="he-IL" sz="700"/>
            <a:t>70</a:t>
          </a:r>
          <a:endParaRPr lang="en-US" sz="700"/>
        </a:p>
      </xdr:txBody>
    </xdr:sp>
    <xdr:clientData/>
  </xdr:twoCellAnchor>
  <xdr:twoCellAnchor editAs="oneCell">
    <xdr:from>
      <xdr:col>1</xdr:col>
      <xdr:colOff>617435</xdr:colOff>
      <xdr:row>2</xdr:row>
      <xdr:rowOff>82550</xdr:rowOff>
    </xdr:from>
    <xdr:to>
      <xdr:col>7</xdr:col>
      <xdr:colOff>786229</xdr:colOff>
      <xdr:row>10</xdr:row>
      <xdr:rowOff>127000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8050FFA-F4EB-FA4E-9878-B543FD51E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8427271" y="1098550"/>
          <a:ext cx="5121794" cy="1670050"/>
        </a:xfrm>
        <a:prstGeom prst="rect">
          <a:avLst/>
        </a:prstGeom>
      </xdr:spPr>
    </xdr:pic>
    <xdr:clientData/>
  </xdr:twoCellAnchor>
  <xdr:twoCellAnchor>
    <xdr:from>
      <xdr:col>5</xdr:col>
      <xdr:colOff>685800</xdr:colOff>
      <xdr:row>287</xdr:row>
      <xdr:rowOff>31750</xdr:rowOff>
    </xdr:from>
    <xdr:to>
      <xdr:col>5</xdr:col>
      <xdr:colOff>692150</xdr:colOff>
      <xdr:row>297</xdr:row>
      <xdr:rowOff>177800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C1A9D800-77C5-5E25-9A17-3208DA6E8EE9}"/>
            </a:ext>
          </a:extLst>
        </xdr:cNvPr>
        <xdr:cNvCxnSpPr/>
      </xdr:nvCxnSpPr>
      <xdr:spPr>
        <a:xfrm flipH="1" flipV="1">
          <a:off x="13520172350" y="32391350"/>
          <a:ext cx="6350" cy="2178050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50800</xdr:colOff>
      <xdr:row>293</xdr:row>
      <xdr:rowOff>82550</xdr:rowOff>
    </xdr:from>
    <xdr:to>
      <xdr:col>6</xdr:col>
      <xdr:colOff>361950</xdr:colOff>
      <xdr:row>293</xdr:row>
      <xdr:rowOff>114300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27DFF005-46CA-28FD-53F4-C2A8168844E5}"/>
            </a:ext>
          </a:extLst>
        </xdr:cNvPr>
        <xdr:cNvCxnSpPr/>
      </xdr:nvCxnSpPr>
      <xdr:spPr>
        <a:xfrm>
          <a:off x="13519677050" y="33661350"/>
          <a:ext cx="2787650" cy="31750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425450</xdr:colOff>
      <xdr:row>293</xdr:row>
      <xdr:rowOff>127000</xdr:rowOff>
    </xdr:from>
    <xdr:to>
      <xdr:col>5</xdr:col>
      <xdr:colOff>673100</xdr:colOff>
      <xdr:row>293</xdr:row>
      <xdr:rowOff>146050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542666EF-D34D-4036-E084-D5A87986CA45}"/>
            </a:ext>
          </a:extLst>
        </xdr:cNvPr>
        <xdr:cNvCxnSpPr/>
      </xdr:nvCxnSpPr>
      <xdr:spPr>
        <a:xfrm>
          <a:off x="13520191400" y="33705800"/>
          <a:ext cx="1073150" cy="190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285750</xdr:colOff>
      <xdr:row>287</xdr:row>
      <xdr:rowOff>25400</xdr:rowOff>
    </xdr:from>
    <xdr:to>
      <xdr:col>4</xdr:col>
      <xdr:colOff>431800</xdr:colOff>
      <xdr:row>293</xdr:row>
      <xdr:rowOff>158750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A216ED8C-278F-580E-8D4C-02B5AE531B75}"/>
            </a:ext>
          </a:extLst>
        </xdr:cNvPr>
        <xdr:cNvCxnSpPr/>
      </xdr:nvCxnSpPr>
      <xdr:spPr>
        <a:xfrm flipV="1">
          <a:off x="13521258200" y="32385000"/>
          <a:ext cx="971550" cy="13525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607122</xdr:colOff>
      <xdr:row>61</xdr:row>
      <xdr:rowOff>55756</xdr:rowOff>
    </xdr:from>
    <xdr:to>
      <xdr:col>5</xdr:col>
      <xdr:colOff>631902</xdr:colOff>
      <xdr:row>75</xdr:row>
      <xdr:rowOff>37171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1D2673E3-BC9D-52D0-114F-687C396E83D3}"/>
            </a:ext>
          </a:extLst>
        </xdr:cNvPr>
        <xdr:cNvCxnSpPr/>
      </xdr:nvCxnSpPr>
      <xdr:spPr>
        <a:xfrm flipH="1" flipV="1">
          <a:off x="13494865122" y="11529122"/>
          <a:ext cx="24780" cy="2843561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774390</xdr:colOff>
      <xdr:row>68</xdr:row>
      <xdr:rowOff>117707</xdr:rowOff>
    </xdr:from>
    <xdr:to>
      <xdr:col>6</xdr:col>
      <xdr:colOff>291171</xdr:colOff>
      <xdr:row>68</xdr:row>
      <xdr:rowOff>123902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772B304B-B9FC-67C4-D081-E95C9E7B3AE5}"/>
            </a:ext>
          </a:extLst>
        </xdr:cNvPr>
        <xdr:cNvCxnSpPr/>
      </xdr:nvCxnSpPr>
      <xdr:spPr>
        <a:xfrm>
          <a:off x="13494381902" y="13022146"/>
          <a:ext cx="3636537" cy="6195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278781</xdr:colOff>
      <xdr:row>63</xdr:row>
      <xdr:rowOff>117707</xdr:rowOff>
    </xdr:from>
    <xdr:to>
      <xdr:col>5</xdr:col>
      <xdr:colOff>638097</xdr:colOff>
      <xdr:row>70</xdr:row>
      <xdr:rowOff>142488</xdr:rowOff>
    </xdr:to>
    <xdr:cxnSp macro="">
      <xdr:nvCxnSpPr>
        <xdr:cNvPr id="34" name="Straight Connector 33">
          <a:extLst>
            <a:ext uri="{FF2B5EF4-FFF2-40B4-BE49-F238E27FC236}">
              <a16:creationId xmlns:a16="http://schemas.microsoft.com/office/drawing/2014/main" id="{94C4AEE0-70ED-2E05-8F6F-64D7C70BAE1D}"/>
            </a:ext>
          </a:extLst>
        </xdr:cNvPr>
        <xdr:cNvCxnSpPr/>
      </xdr:nvCxnSpPr>
      <xdr:spPr>
        <a:xfrm>
          <a:off x="13494858927" y="11999951"/>
          <a:ext cx="1183268" cy="1455854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365512</xdr:colOff>
      <xdr:row>70</xdr:row>
      <xdr:rowOff>136293</xdr:rowOff>
    </xdr:from>
    <xdr:to>
      <xdr:col>4</xdr:col>
      <xdr:colOff>297366</xdr:colOff>
      <xdr:row>70</xdr:row>
      <xdr:rowOff>148683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41EEFF5A-041D-A287-19E7-54D0FB50B3BC}"/>
            </a:ext>
          </a:extLst>
        </xdr:cNvPr>
        <xdr:cNvCxnSpPr/>
      </xdr:nvCxnSpPr>
      <xdr:spPr>
        <a:xfrm>
          <a:off x="13496023610" y="13449610"/>
          <a:ext cx="755805" cy="1239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267972</xdr:colOff>
      <xdr:row>63</xdr:row>
      <xdr:rowOff>32940</xdr:rowOff>
    </xdr:from>
    <xdr:ext cx="98096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68C2B13-79A7-3458-E773-686C33384386}"/>
                </a:ext>
              </a:extLst>
            </xdr:cNvPr>
            <xdr:cNvSpPr txBox="1"/>
          </xdr:nvSpPr>
          <xdr:spPr>
            <a:xfrm>
              <a:off x="13541831109" y="13197706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68C2B13-79A7-3458-E773-686C33384386}"/>
                </a:ext>
              </a:extLst>
            </xdr:cNvPr>
            <xdr:cNvSpPr txBox="1"/>
          </xdr:nvSpPr>
          <xdr:spPr>
            <a:xfrm>
              <a:off x="13541831109" y="13197706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232118</xdr:colOff>
      <xdr:row>68</xdr:row>
      <xdr:rowOff>145374</xdr:rowOff>
    </xdr:from>
    <xdr:ext cx="98096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70187B10-E263-A8AE-2533-D6DB2E84FDFA}"/>
                </a:ext>
              </a:extLst>
            </xdr:cNvPr>
            <xdr:cNvSpPr txBox="1"/>
          </xdr:nvSpPr>
          <xdr:spPr>
            <a:xfrm>
              <a:off x="13542693814" y="14336948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70187B10-E263-A8AE-2533-D6DB2E84FDFA}"/>
                </a:ext>
              </a:extLst>
            </xdr:cNvPr>
            <xdr:cNvSpPr txBox="1"/>
          </xdr:nvSpPr>
          <xdr:spPr>
            <a:xfrm>
              <a:off x="13542693814" y="14336948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648115</xdr:colOff>
      <xdr:row>67</xdr:row>
      <xdr:rowOff>155261</xdr:rowOff>
    </xdr:from>
    <xdr:ext cx="98096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FF7861B7-FC2D-E86A-2B73-22C7FE6AFAEC}"/>
                </a:ext>
              </a:extLst>
            </xdr:cNvPr>
            <xdr:cNvSpPr txBox="1"/>
          </xdr:nvSpPr>
          <xdr:spPr>
            <a:xfrm>
              <a:off x="13543104668" y="14141474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FF7861B7-FC2D-E86A-2B73-22C7FE6AFAEC}"/>
                </a:ext>
              </a:extLst>
            </xdr:cNvPr>
            <xdr:cNvSpPr txBox="1"/>
          </xdr:nvSpPr>
          <xdr:spPr>
            <a:xfrm>
              <a:off x="13543104668" y="14141474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752772</xdr:colOff>
      <xdr:row>67</xdr:row>
      <xdr:rowOff>145242</xdr:rowOff>
    </xdr:from>
    <xdr:ext cx="98096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A6C073CB-A7B3-B820-C910-22674CC4B84F}"/>
                </a:ext>
              </a:extLst>
            </xdr:cNvPr>
            <xdr:cNvSpPr txBox="1"/>
          </xdr:nvSpPr>
          <xdr:spPr>
            <a:xfrm>
              <a:off x="13543826862" y="14131455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90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A6C073CB-A7B3-B820-C910-22674CC4B84F}"/>
                </a:ext>
              </a:extLst>
            </xdr:cNvPr>
            <xdr:cNvSpPr txBox="1"/>
          </xdr:nvSpPr>
          <xdr:spPr>
            <a:xfrm>
              <a:off x="13543826862" y="14131455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90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396488</xdr:colOff>
      <xdr:row>62</xdr:row>
      <xdr:rowOff>154878</xdr:rowOff>
    </xdr:from>
    <xdr:to>
      <xdr:col>3</xdr:col>
      <xdr:colOff>371708</xdr:colOff>
      <xdr:row>70</xdr:row>
      <xdr:rowOff>148683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8C52E26E-3012-FBF7-9278-B80DFFF8235C}"/>
            </a:ext>
          </a:extLst>
        </xdr:cNvPr>
        <xdr:cNvCxnSpPr/>
      </xdr:nvCxnSpPr>
      <xdr:spPr>
        <a:xfrm flipH="1">
          <a:off x="13496773219" y="11832683"/>
          <a:ext cx="799171" cy="162931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389632</xdr:colOff>
      <xdr:row>68</xdr:row>
      <xdr:rowOff>130613</xdr:rowOff>
    </xdr:from>
    <xdr:ext cx="98096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5E41A188-165F-9CDD-2CF2-E9F713E46C2C}"/>
                </a:ext>
              </a:extLst>
            </xdr:cNvPr>
            <xdr:cNvSpPr txBox="1"/>
          </xdr:nvSpPr>
          <xdr:spPr>
            <a:xfrm>
              <a:off x="13544190002" y="14322187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5E41A188-165F-9CDD-2CF2-E9F713E46C2C}"/>
                </a:ext>
              </a:extLst>
            </xdr:cNvPr>
            <xdr:cNvSpPr txBox="1"/>
          </xdr:nvSpPr>
          <xdr:spPr>
            <a:xfrm>
              <a:off x="13544190002" y="14322187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115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322936</xdr:colOff>
      <xdr:row>70</xdr:row>
      <xdr:rowOff>49945</xdr:rowOff>
    </xdr:from>
    <xdr:ext cx="98096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9AC9F89E-60E4-A1CD-F24A-BA90163BCA7A}"/>
                </a:ext>
              </a:extLst>
            </xdr:cNvPr>
            <xdr:cNvSpPr txBox="1"/>
          </xdr:nvSpPr>
          <xdr:spPr>
            <a:xfrm>
              <a:off x="13541776145" y="14652243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−25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9AC9F89E-60E4-A1CD-F24A-BA90163BCA7A}"/>
                </a:ext>
              </a:extLst>
            </xdr:cNvPr>
            <xdr:cNvSpPr txBox="1"/>
          </xdr:nvSpPr>
          <xdr:spPr>
            <a:xfrm>
              <a:off x="13541776145" y="14652243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−25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377903</xdr:colOff>
      <xdr:row>70</xdr:row>
      <xdr:rowOff>130098</xdr:rowOff>
    </xdr:from>
    <xdr:to>
      <xdr:col>5</xdr:col>
      <xdr:colOff>588536</xdr:colOff>
      <xdr:row>70</xdr:row>
      <xdr:rowOff>142488</xdr:rowOff>
    </xdr:to>
    <xdr:cxnSp macro="">
      <xdr:nvCxnSpPr>
        <xdr:cNvPr id="50" name="Straight Connector 49">
          <a:extLst>
            <a:ext uri="{FF2B5EF4-FFF2-40B4-BE49-F238E27FC236}">
              <a16:creationId xmlns:a16="http://schemas.microsoft.com/office/drawing/2014/main" id="{C1E68709-B623-A18A-722B-A41BD6E6827D}"/>
            </a:ext>
          </a:extLst>
        </xdr:cNvPr>
        <xdr:cNvCxnSpPr/>
      </xdr:nvCxnSpPr>
      <xdr:spPr>
        <a:xfrm>
          <a:off x="13494908488" y="13443415"/>
          <a:ext cx="1034585" cy="12390"/>
        </a:xfrm>
        <a:prstGeom prst="line">
          <a:avLst/>
        </a:prstGeom>
        <a:ln>
          <a:prstDash val="sysDash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284976</xdr:colOff>
      <xdr:row>68</xdr:row>
      <xdr:rowOff>173463</xdr:rowOff>
    </xdr:from>
    <xdr:to>
      <xdr:col>4</xdr:col>
      <xdr:colOff>303561</xdr:colOff>
      <xdr:row>70</xdr:row>
      <xdr:rowOff>55756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917A1F38-BB76-6B79-F551-CD7477C6CACD}"/>
            </a:ext>
          </a:extLst>
        </xdr:cNvPr>
        <xdr:cNvCxnSpPr/>
      </xdr:nvCxnSpPr>
      <xdr:spPr>
        <a:xfrm>
          <a:off x="13496017415" y="13077902"/>
          <a:ext cx="18585" cy="291171"/>
        </a:xfrm>
        <a:prstGeom prst="line">
          <a:avLst/>
        </a:prstGeom>
        <a:ln>
          <a:prstDash val="sysDash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408878</xdr:colOff>
      <xdr:row>68</xdr:row>
      <xdr:rowOff>198244</xdr:rowOff>
    </xdr:from>
    <xdr:to>
      <xdr:col>3</xdr:col>
      <xdr:colOff>427463</xdr:colOff>
      <xdr:row>70</xdr:row>
      <xdr:rowOff>80537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0E1CBF93-7CC5-720C-E68D-C4E0E7852724}"/>
            </a:ext>
          </a:extLst>
        </xdr:cNvPr>
        <xdr:cNvCxnSpPr/>
      </xdr:nvCxnSpPr>
      <xdr:spPr>
        <a:xfrm>
          <a:off x="13496717464" y="13102683"/>
          <a:ext cx="18585" cy="291171"/>
        </a:xfrm>
        <a:prstGeom prst="line">
          <a:avLst/>
        </a:prstGeom>
        <a:ln>
          <a:prstDash val="sysDash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650489</xdr:colOff>
      <xdr:row>175</xdr:row>
      <xdr:rowOff>123902</xdr:rowOff>
    </xdr:from>
    <xdr:to>
      <xdr:col>4</xdr:col>
      <xdr:colOff>675269</xdr:colOff>
      <xdr:row>189</xdr:row>
      <xdr:rowOff>105317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28F5C597-9EB2-1C43-837D-BC8F7C3AFB93}"/>
            </a:ext>
          </a:extLst>
        </xdr:cNvPr>
        <xdr:cNvCxnSpPr/>
      </xdr:nvCxnSpPr>
      <xdr:spPr>
        <a:xfrm flipH="1" flipV="1">
          <a:off x="13495738634" y="30734000"/>
          <a:ext cx="24780" cy="2843561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0</xdr:col>
      <xdr:colOff>991220</xdr:colOff>
      <xdr:row>182</xdr:row>
      <xdr:rowOff>130097</xdr:rowOff>
    </xdr:from>
    <xdr:to>
      <xdr:col>5</xdr:col>
      <xdr:colOff>328342</xdr:colOff>
      <xdr:row>182</xdr:row>
      <xdr:rowOff>136292</xdr:rowOff>
    </xdr:to>
    <xdr:cxnSp macro="">
      <xdr:nvCxnSpPr>
        <xdr:cNvPr id="57" name="Straight Arrow Connector 56">
          <a:extLst>
            <a:ext uri="{FF2B5EF4-FFF2-40B4-BE49-F238E27FC236}">
              <a16:creationId xmlns:a16="http://schemas.microsoft.com/office/drawing/2014/main" id="{6671515E-C8FB-7F43-AA3B-DF83CBE3979D}"/>
            </a:ext>
          </a:extLst>
        </xdr:cNvPr>
        <xdr:cNvCxnSpPr/>
      </xdr:nvCxnSpPr>
      <xdr:spPr>
        <a:xfrm>
          <a:off x="13495261609" y="32171268"/>
          <a:ext cx="3636537" cy="6195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538976</xdr:colOff>
      <xdr:row>178</xdr:row>
      <xdr:rowOff>55756</xdr:rowOff>
    </xdr:from>
    <xdr:to>
      <xdr:col>4</xdr:col>
      <xdr:colOff>675269</xdr:colOff>
      <xdr:row>178</xdr:row>
      <xdr:rowOff>55756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C9DECD78-F8A0-A423-4D9E-1B3FB699D492}"/>
            </a:ext>
          </a:extLst>
        </xdr:cNvPr>
        <xdr:cNvCxnSpPr/>
      </xdr:nvCxnSpPr>
      <xdr:spPr>
        <a:xfrm>
          <a:off x="13495738634" y="31279171"/>
          <a:ext cx="960244" cy="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377903</xdr:colOff>
      <xdr:row>178</xdr:row>
      <xdr:rowOff>55756</xdr:rowOff>
    </xdr:from>
    <xdr:to>
      <xdr:col>3</xdr:col>
      <xdr:colOff>563756</xdr:colOff>
      <xdr:row>187</xdr:row>
      <xdr:rowOff>99122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DCE62CBE-943D-DCE6-D2A1-3F7858A885F2}"/>
            </a:ext>
          </a:extLst>
        </xdr:cNvPr>
        <xdr:cNvCxnSpPr/>
      </xdr:nvCxnSpPr>
      <xdr:spPr>
        <a:xfrm>
          <a:off x="13496674098" y="31279171"/>
          <a:ext cx="1009804" cy="188331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247805</xdr:colOff>
      <xdr:row>187</xdr:row>
      <xdr:rowOff>99123</xdr:rowOff>
    </xdr:from>
    <xdr:to>
      <xdr:col>2</xdr:col>
      <xdr:colOff>384098</xdr:colOff>
      <xdr:row>187</xdr:row>
      <xdr:rowOff>99123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B1585C4A-A378-CD2D-3771-455CA720B77C}"/>
            </a:ext>
          </a:extLst>
        </xdr:cNvPr>
        <xdr:cNvCxnSpPr/>
      </xdr:nvCxnSpPr>
      <xdr:spPr>
        <a:xfrm>
          <a:off x="13497677707" y="33162489"/>
          <a:ext cx="960244" cy="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197094</xdr:colOff>
      <xdr:row>177</xdr:row>
      <xdr:rowOff>178951</xdr:rowOff>
    </xdr:from>
    <xdr:ext cx="119159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D74E399E-ED27-B65F-AD1F-8289289D52B6}"/>
                </a:ext>
              </a:extLst>
            </xdr:cNvPr>
            <xdr:cNvSpPr txBox="1"/>
          </xdr:nvSpPr>
          <xdr:spPr>
            <a:xfrm>
              <a:off x="13529595913" y="36952756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D74E399E-ED27-B65F-AD1F-8289289D52B6}"/>
                </a:ext>
              </a:extLst>
            </xdr:cNvPr>
            <xdr:cNvSpPr txBox="1"/>
          </xdr:nvSpPr>
          <xdr:spPr>
            <a:xfrm>
              <a:off x="13529595913" y="36952756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236127</xdr:colOff>
      <xdr:row>186</xdr:row>
      <xdr:rowOff>163409</xdr:rowOff>
    </xdr:from>
    <xdr:ext cx="119159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343A65C0-BED6-062F-9E2C-F326A63EDA9C}"/>
                </a:ext>
              </a:extLst>
            </xdr:cNvPr>
            <xdr:cNvSpPr txBox="1"/>
          </xdr:nvSpPr>
          <xdr:spPr>
            <a:xfrm>
              <a:off x="13529556880" y="38757922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343A65C0-BED6-062F-9E2C-F326A63EDA9C}"/>
                </a:ext>
              </a:extLst>
            </xdr:cNvPr>
            <xdr:cNvSpPr txBox="1"/>
          </xdr:nvSpPr>
          <xdr:spPr>
            <a:xfrm>
              <a:off x="13529556880" y="38757922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−15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739962</xdr:colOff>
      <xdr:row>182</xdr:row>
      <xdr:rowOff>155322</xdr:rowOff>
    </xdr:from>
    <xdr:ext cx="119159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500FC459-8559-E162-494C-5CEA92D791D2}"/>
                </a:ext>
              </a:extLst>
            </xdr:cNvPr>
            <xdr:cNvSpPr txBox="1"/>
          </xdr:nvSpPr>
          <xdr:spPr>
            <a:xfrm>
              <a:off x="13530705169" y="37940632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500FC459-8559-E162-494C-5CEA92D791D2}"/>
                </a:ext>
              </a:extLst>
            </xdr:cNvPr>
            <xdr:cNvSpPr txBox="1"/>
          </xdr:nvSpPr>
          <xdr:spPr>
            <a:xfrm>
              <a:off x="13530705169" y="37940632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607123</xdr:colOff>
      <xdr:row>181</xdr:row>
      <xdr:rowOff>124921</xdr:rowOff>
    </xdr:from>
    <xdr:ext cx="119159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4927CAA7-8D62-0725-B93C-BE208074134D}"/>
                </a:ext>
              </a:extLst>
            </xdr:cNvPr>
            <xdr:cNvSpPr txBox="1"/>
          </xdr:nvSpPr>
          <xdr:spPr>
            <a:xfrm>
              <a:off x="13531664070" y="37707930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4927CAA7-8D62-0725-B93C-BE208074134D}"/>
                </a:ext>
              </a:extLst>
            </xdr:cNvPr>
            <xdr:cNvSpPr txBox="1"/>
          </xdr:nvSpPr>
          <xdr:spPr>
            <a:xfrm>
              <a:off x="13531664070" y="37707930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226617</xdr:colOff>
      <xdr:row>181</xdr:row>
      <xdr:rowOff>137887</xdr:rowOff>
    </xdr:from>
    <xdr:ext cx="119159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A7CA1357-108A-8D85-5647-1099AEA3786C}"/>
                </a:ext>
              </a:extLst>
            </xdr:cNvPr>
            <xdr:cNvSpPr txBox="1"/>
          </xdr:nvSpPr>
          <xdr:spPr>
            <a:xfrm>
              <a:off x="13531218514" y="37720896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A7CA1357-108A-8D85-5647-1099AEA3786C}"/>
                </a:ext>
              </a:extLst>
            </xdr:cNvPr>
            <xdr:cNvSpPr txBox="1"/>
          </xdr:nvSpPr>
          <xdr:spPr>
            <a:xfrm>
              <a:off x="13531218514" y="37720896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532781</xdr:colOff>
      <xdr:row>178</xdr:row>
      <xdr:rowOff>74341</xdr:rowOff>
    </xdr:from>
    <xdr:to>
      <xdr:col>3</xdr:col>
      <xdr:colOff>563756</xdr:colOff>
      <xdr:row>182</xdr:row>
      <xdr:rowOff>99122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CCDC7EC3-99A7-CD47-954D-93DE26B305F8}"/>
            </a:ext>
          </a:extLst>
        </xdr:cNvPr>
        <xdr:cNvCxnSpPr/>
      </xdr:nvCxnSpPr>
      <xdr:spPr>
        <a:xfrm>
          <a:off x="13496674098" y="31297756"/>
          <a:ext cx="30975" cy="842537"/>
        </a:xfrm>
        <a:prstGeom prst="line">
          <a:avLst/>
        </a:prstGeom>
        <a:ln>
          <a:prstDash val="sysDash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346927</xdr:colOff>
      <xdr:row>182</xdr:row>
      <xdr:rowOff>154878</xdr:rowOff>
    </xdr:from>
    <xdr:to>
      <xdr:col>2</xdr:col>
      <xdr:colOff>371707</xdr:colOff>
      <xdr:row>187</xdr:row>
      <xdr:rowOff>92927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7566C385-A9FC-CDD1-9F57-6F7072381A78}"/>
            </a:ext>
          </a:extLst>
        </xdr:cNvPr>
        <xdr:cNvCxnSpPr/>
      </xdr:nvCxnSpPr>
      <xdr:spPr>
        <a:xfrm>
          <a:off x="13497690098" y="32196049"/>
          <a:ext cx="24780" cy="960244"/>
        </a:xfrm>
        <a:prstGeom prst="line">
          <a:avLst/>
        </a:prstGeom>
        <a:ln>
          <a:prstDash val="sysDash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536398</xdr:colOff>
      <xdr:row>91</xdr:row>
      <xdr:rowOff>72967</xdr:rowOff>
    </xdr:from>
    <xdr:to>
      <xdr:col>5</xdr:col>
      <xdr:colOff>360886</xdr:colOff>
      <xdr:row>92</xdr:row>
      <xdr:rowOff>70993</xdr:rowOff>
    </xdr:to>
    <xdr:sp macro="" textlink="">
      <xdr:nvSpPr>
        <xdr:cNvPr id="73" name="Left Brace 72">
          <a:extLst>
            <a:ext uri="{FF2B5EF4-FFF2-40B4-BE49-F238E27FC236}">
              <a16:creationId xmlns:a16="http://schemas.microsoft.com/office/drawing/2014/main" id="{790BF00E-CB75-44AF-BDA5-EB26D7A0D2FC}"/>
            </a:ext>
          </a:extLst>
        </xdr:cNvPr>
        <xdr:cNvSpPr/>
      </xdr:nvSpPr>
      <xdr:spPr>
        <a:xfrm rot="5400000">
          <a:off x="13501849208" y="18148773"/>
          <a:ext cx="203120" cy="1473121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493013</xdr:colOff>
      <xdr:row>91</xdr:row>
      <xdr:rowOff>45358</xdr:rowOff>
    </xdr:from>
    <xdr:to>
      <xdr:col>3</xdr:col>
      <xdr:colOff>364831</xdr:colOff>
      <xdr:row>92</xdr:row>
      <xdr:rowOff>47329</xdr:rowOff>
    </xdr:to>
    <xdr:sp macro="" textlink="">
      <xdr:nvSpPr>
        <xdr:cNvPr id="74" name="Left Brace 73">
          <a:extLst>
            <a:ext uri="{FF2B5EF4-FFF2-40B4-BE49-F238E27FC236}">
              <a16:creationId xmlns:a16="http://schemas.microsoft.com/office/drawing/2014/main" id="{A3E0C16D-F78F-9C32-F9BD-3FD20F8B95A7}"/>
            </a:ext>
          </a:extLst>
        </xdr:cNvPr>
        <xdr:cNvSpPr/>
      </xdr:nvSpPr>
      <xdr:spPr>
        <a:xfrm rot="5400000">
          <a:off x="13503515589" y="18304565"/>
          <a:ext cx="207064" cy="1520452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153820</xdr:colOff>
      <xdr:row>93</xdr:row>
      <xdr:rowOff>7888</xdr:rowOff>
    </xdr:from>
    <xdr:to>
      <xdr:col>5</xdr:col>
      <xdr:colOff>157764</xdr:colOff>
      <xdr:row>94</xdr:row>
      <xdr:rowOff>106491</xdr:rowOff>
    </xdr:to>
    <xdr:cxnSp macro="">
      <xdr:nvCxnSpPr>
        <xdr:cNvPr id="76" name="Straight Arrow Connector 75">
          <a:extLst>
            <a:ext uri="{FF2B5EF4-FFF2-40B4-BE49-F238E27FC236}">
              <a16:creationId xmlns:a16="http://schemas.microsoft.com/office/drawing/2014/main" id="{6C5505CC-0DC5-71F4-C57F-1D3D748433D1}"/>
            </a:ext>
          </a:extLst>
        </xdr:cNvPr>
        <xdr:cNvCxnSpPr/>
      </xdr:nvCxnSpPr>
      <xdr:spPr>
        <a:xfrm>
          <a:off x="13501417329" y="19333975"/>
          <a:ext cx="3944" cy="30369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646831</xdr:colOff>
      <xdr:row>94</xdr:row>
      <xdr:rowOff>100890</xdr:rowOff>
    </xdr:from>
    <xdr:ext cx="66521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A39A74EB-BDE4-85DB-782F-551CAC98DCB7}"/>
                </a:ext>
              </a:extLst>
            </xdr:cNvPr>
            <xdr:cNvSpPr txBox="1"/>
          </xdr:nvSpPr>
          <xdr:spPr>
            <a:xfrm>
              <a:off x="13501087366" y="19632070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A39A74EB-BDE4-85DB-782F-551CAC98DCB7}"/>
                </a:ext>
              </a:extLst>
            </xdr:cNvPr>
            <xdr:cNvSpPr txBox="1"/>
          </xdr:nvSpPr>
          <xdr:spPr>
            <a:xfrm>
              <a:off x="13501087366" y="19632070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165652</xdr:colOff>
      <xdr:row>93</xdr:row>
      <xdr:rowOff>0</xdr:rowOff>
    </xdr:from>
    <xdr:to>
      <xdr:col>3</xdr:col>
      <xdr:colOff>169596</xdr:colOff>
      <xdr:row>94</xdr:row>
      <xdr:rowOff>98603</xdr:rowOff>
    </xdr:to>
    <xdr:cxnSp macro="">
      <xdr:nvCxnSpPr>
        <xdr:cNvPr id="78" name="Straight Arrow Connector 77">
          <a:extLst>
            <a:ext uri="{FF2B5EF4-FFF2-40B4-BE49-F238E27FC236}">
              <a16:creationId xmlns:a16="http://schemas.microsoft.com/office/drawing/2014/main" id="{55DB7F5F-B296-BCDF-490C-7F38FBE323ED}"/>
            </a:ext>
          </a:extLst>
        </xdr:cNvPr>
        <xdr:cNvCxnSpPr/>
      </xdr:nvCxnSpPr>
      <xdr:spPr>
        <a:xfrm>
          <a:off x="13503054130" y="19326087"/>
          <a:ext cx="3944" cy="30369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634999</xdr:colOff>
      <xdr:row>94</xdr:row>
      <xdr:rowOff>96946</xdr:rowOff>
    </xdr:from>
    <xdr:ext cx="66521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E5E70CB5-B71A-E85F-BA23-BDDE5AD4FB3F}"/>
                </a:ext>
              </a:extLst>
            </xdr:cNvPr>
            <xdr:cNvSpPr txBox="1"/>
          </xdr:nvSpPr>
          <xdr:spPr>
            <a:xfrm>
              <a:off x="13502747832" y="19628126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E5E70CB5-B71A-E85F-BA23-BDDE5AD4FB3F}"/>
                </a:ext>
              </a:extLst>
            </xdr:cNvPr>
            <xdr:cNvSpPr txBox="1"/>
          </xdr:nvSpPr>
          <xdr:spPr>
            <a:xfrm>
              <a:off x="13502747832" y="19628126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575837</xdr:colOff>
      <xdr:row>93</xdr:row>
      <xdr:rowOff>11832</xdr:rowOff>
    </xdr:from>
    <xdr:to>
      <xdr:col>4</xdr:col>
      <xdr:colOff>579781</xdr:colOff>
      <xdr:row>94</xdr:row>
      <xdr:rowOff>110435</xdr:rowOff>
    </xdr:to>
    <xdr:cxnSp macro="">
      <xdr:nvCxnSpPr>
        <xdr:cNvPr id="80" name="Straight Arrow Connector 79">
          <a:extLst>
            <a:ext uri="{FF2B5EF4-FFF2-40B4-BE49-F238E27FC236}">
              <a16:creationId xmlns:a16="http://schemas.microsoft.com/office/drawing/2014/main" id="{ED7EA071-1D46-2911-84F6-5E33EDB67D1B}"/>
            </a:ext>
          </a:extLst>
        </xdr:cNvPr>
        <xdr:cNvCxnSpPr/>
      </xdr:nvCxnSpPr>
      <xdr:spPr>
        <a:xfrm>
          <a:off x="13501819628" y="19337919"/>
          <a:ext cx="3944" cy="30369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236645</xdr:colOff>
      <xdr:row>94</xdr:row>
      <xdr:rowOff>89057</xdr:rowOff>
    </xdr:from>
    <xdr:ext cx="66521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FC1D1535-062A-3A00-357F-6E2E512A0F82}"/>
                </a:ext>
              </a:extLst>
            </xdr:cNvPr>
            <xdr:cNvSpPr txBox="1"/>
          </xdr:nvSpPr>
          <xdr:spPr>
            <a:xfrm>
              <a:off x="13501497552" y="19620237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𝑥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FC1D1535-062A-3A00-357F-6E2E512A0F82}"/>
                </a:ext>
              </a:extLst>
            </xdr:cNvPr>
            <xdr:cNvSpPr txBox="1"/>
          </xdr:nvSpPr>
          <xdr:spPr>
            <a:xfrm>
              <a:off x="13501497552" y="19620237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𝑥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169596</xdr:colOff>
      <xdr:row>94</xdr:row>
      <xdr:rowOff>77225</xdr:rowOff>
    </xdr:from>
    <xdr:ext cx="66521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C22983A5-FB72-5598-C2CB-B6CF6A8A1D3F}"/>
                </a:ext>
              </a:extLst>
            </xdr:cNvPr>
            <xdr:cNvSpPr txBox="1"/>
          </xdr:nvSpPr>
          <xdr:spPr>
            <a:xfrm>
              <a:off x="13503213235" y="19608405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𝑥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C22983A5-FB72-5598-C2CB-B6CF6A8A1D3F}"/>
                </a:ext>
              </a:extLst>
            </xdr:cNvPr>
            <xdr:cNvSpPr txBox="1"/>
          </xdr:nvSpPr>
          <xdr:spPr>
            <a:xfrm>
              <a:off x="13503213235" y="19608405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𝑥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504844</xdr:colOff>
      <xdr:row>92</xdr:row>
      <xdr:rowOff>193260</xdr:rowOff>
    </xdr:from>
    <xdr:to>
      <xdr:col>2</xdr:col>
      <xdr:colOff>508788</xdr:colOff>
      <xdr:row>94</xdr:row>
      <xdr:rowOff>86770</xdr:rowOff>
    </xdr:to>
    <xdr:cxnSp macro="">
      <xdr:nvCxnSpPr>
        <xdr:cNvPr id="83" name="Straight Arrow Connector 82">
          <a:extLst>
            <a:ext uri="{FF2B5EF4-FFF2-40B4-BE49-F238E27FC236}">
              <a16:creationId xmlns:a16="http://schemas.microsoft.com/office/drawing/2014/main" id="{2DF43EFD-A573-2A27-6F08-A43F98059189}"/>
            </a:ext>
          </a:extLst>
        </xdr:cNvPr>
        <xdr:cNvCxnSpPr/>
      </xdr:nvCxnSpPr>
      <xdr:spPr>
        <a:xfrm>
          <a:off x="13503539255" y="19314254"/>
          <a:ext cx="3944" cy="30369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134098</xdr:colOff>
      <xdr:row>92</xdr:row>
      <xdr:rowOff>177483</xdr:rowOff>
    </xdr:from>
    <xdr:to>
      <xdr:col>4</xdr:col>
      <xdr:colOff>145930</xdr:colOff>
      <xdr:row>96</xdr:row>
      <xdr:rowOff>3945</xdr:rowOff>
    </xdr:to>
    <xdr:cxnSp macro="">
      <xdr:nvCxnSpPr>
        <xdr:cNvPr id="84" name="Straight Arrow Connector 83">
          <a:extLst>
            <a:ext uri="{FF2B5EF4-FFF2-40B4-BE49-F238E27FC236}">
              <a16:creationId xmlns:a16="http://schemas.microsoft.com/office/drawing/2014/main" id="{4EC5E89A-9AA1-A807-FEEB-D76A7F2D6722}"/>
            </a:ext>
          </a:extLst>
        </xdr:cNvPr>
        <xdr:cNvCxnSpPr/>
      </xdr:nvCxnSpPr>
      <xdr:spPr>
        <a:xfrm>
          <a:off x="13502253479" y="19298477"/>
          <a:ext cx="11832" cy="64683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141987</xdr:colOff>
      <xdr:row>92</xdr:row>
      <xdr:rowOff>201147</xdr:rowOff>
    </xdr:from>
    <xdr:to>
      <xdr:col>2</xdr:col>
      <xdr:colOff>153819</xdr:colOff>
      <xdr:row>96</xdr:row>
      <xdr:rowOff>27609</xdr:rowOff>
    </xdr:to>
    <xdr:cxnSp macro="">
      <xdr:nvCxnSpPr>
        <xdr:cNvPr id="86" name="Straight Arrow Connector 85">
          <a:extLst>
            <a:ext uri="{FF2B5EF4-FFF2-40B4-BE49-F238E27FC236}">
              <a16:creationId xmlns:a16="http://schemas.microsoft.com/office/drawing/2014/main" id="{22A30EF3-5F9E-4746-5DFA-3FB7F01BA8AB}"/>
            </a:ext>
          </a:extLst>
        </xdr:cNvPr>
        <xdr:cNvCxnSpPr/>
      </xdr:nvCxnSpPr>
      <xdr:spPr>
        <a:xfrm>
          <a:off x="13503894224" y="19322141"/>
          <a:ext cx="11832" cy="64683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627110</xdr:colOff>
      <xdr:row>92</xdr:row>
      <xdr:rowOff>185371</xdr:rowOff>
    </xdr:from>
    <xdr:to>
      <xdr:col>3</xdr:col>
      <xdr:colOff>638942</xdr:colOff>
      <xdr:row>96</xdr:row>
      <xdr:rowOff>11833</xdr:rowOff>
    </xdr:to>
    <xdr:cxnSp macro="">
      <xdr:nvCxnSpPr>
        <xdr:cNvPr id="87" name="Straight Arrow Connector 86">
          <a:extLst>
            <a:ext uri="{FF2B5EF4-FFF2-40B4-BE49-F238E27FC236}">
              <a16:creationId xmlns:a16="http://schemas.microsoft.com/office/drawing/2014/main" id="{83ED506E-3654-967D-94B4-95873C1BC409}"/>
            </a:ext>
          </a:extLst>
        </xdr:cNvPr>
        <xdr:cNvCxnSpPr/>
      </xdr:nvCxnSpPr>
      <xdr:spPr>
        <a:xfrm>
          <a:off x="13502584784" y="19306365"/>
          <a:ext cx="11832" cy="64683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607390</xdr:colOff>
      <xdr:row>92</xdr:row>
      <xdr:rowOff>173539</xdr:rowOff>
    </xdr:from>
    <xdr:to>
      <xdr:col>1</xdr:col>
      <xdr:colOff>619222</xdr:colOff>
      <xdr:row>96</xdr:row>
      <xdr:rowOff>1</xdr:rowOff>
    </xdr:to>
    <xdr:cxnSp macro="">
      <xdr:nvCxnSpPr>
        <xdr:cNvPr id="88" name="Straight Arrow Connector 87">
          <a:extLst>
            <a:ext uri="{FF2B5EF4-FFF2-40B4-BE49-F238E27FC236}">
              <a16:creationId xmlns:a16="http://schemas.microsoft.com/office/drawing/2014/main" id="{98FED03D-C4E9-63BC-A033-3251742FD262}"/>
            </a:ext>
          </a:extLst>
        </xdr:cNvPr>
        <xdr:cNvCxnSpPr/>
      </xdr:nvCxnSpPr>
      <xdr:spPr>
        <a:xfrm>
          <a:off x="13504253138" y="19294533"/>
          <a:ext cx="11832" cy="64683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718116</xdr:colOff>
      <xdr:row>105</xdr:row>
      <xdr:rowOff>33073</xdr:rowOff>
    </xdr:from>
    <xdr:to>
      <xdr:col>7</xdr:col>
      <xdr:colOff>447326</xdr:colOff>
      <xdr:row>106</xdr:row>
      <xdr:rowOff>46548</xdr:rowOff>
    </xdr:to>
    <xdr:sp macro="" textlink="">
      <xdr:nvSpPr>
        <xdr:cNvPr id="89" name="Left Brace 88">
          <a:extLst>
            <a:ext uri="{FF2B5EF4-FFF2-40B4-BE49-F238E27FC236}">
              <a16:creationId xmlns:a16="http://schemas.microsoft.com/office/drawing/2014/main" id="{36AAC532-ABD8-E1F5-B92A-21F77176716A}"/>
            </a:ext>
          </a:extLst>
        </xdr:cNvPr>
        <xdr:cNvSpPr/>
      </xdr:nvSpPr>
      <xdr:spPr>
        <a:xfrm rot="5400000">
          <a:off x="13503102780" y="20852600"/>
          <a:ext cx="216276" cy="137821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797907</xdr:colOff>
      <xdr:row>105</xdr:row>
      <xdr:rowOff>66321</xdr:rowOff>
    </xdr:from>
    <xdr:to>
      <xdr:col>5</xdr:col>
      <xdr:colOff>527117</xdr:colOff>
      <xdr:row>106</xdr:row>
      <xdr:rowOff>79796</xdr:rowOff>
    </xdr:to>
    <xdr:sp macro="" textlink="">
      <xdr:nvSpPr>
        <xdr:cNvPr id="90" name="Left Brace 89">
          <a:extLst>
            <a:ext uri="{FF2B5EF4-FFF2-40B4-BE49-F238E27FC236}">
              <a16:creationId xmlns:a16="http://schemas.microsoft.com/office/drawing/2014/main" id="{1DF7AC2D-AA08-41F0-9922-9A1B6F491EA3}"/>
            </a:ext>
          </a:extLst>
        </xdr:cNvPr>
        <xdr:cNvSpPr/>
      </xdr:nvSpPr>
      <xdr:spPr>
        <a:xfrm rot="5400000">
          <a:off x="13504671994" y="21088649"/>
          <a:ext cx="216276" cy="137821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346647</xdr:colOff>
      <xdr:row>107</xdr:row>
      <xdr:rowOff>41134</xdr:rowOff>
    </xdr:from>
    <xdr:to>
      <xdr:col>7</xdr:col>
      <xdr:colOff>350591</xdr:colOff>
      <xdr:row>108</xdr:row>
      <xdr:rowOff>139737</xdr:rowOff>
    </xdr:to>
    <xdr:cxnSp macro="">
      <xdr:nvCxnSpPr>
        <xdr:cNvPr id="91" name="Straight Arrow Connector 90">
          <a:extLst>
            <a:ext uri="{FF2B5EF4-FFF2-40B4-BE49-F238E27FC236}">
              <a16:creationId xmlns:a16="http://schemas.microsoft.com/office/drawing/2014/main" id="{0517FA55-3C35-3BF0-D2E6-91F366FD3D35}"/>
            </a:ext>
          </a:extLst>
        </xdr:cNvPr>
        <xdr:cNvCxnSpPr/>
      </xdr:nvCxnSpPr>
      <xdr:spPr>
        <a:xfrm>
          <a:off x="13502618545" y="22050035"/>
          <a:ext cx="3944" cy="30140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694842</xdr:colOff>
      <xdr:row>107</xdr:row>
      <xdr:rowOff>34485</xdr:rowOff>
    </xdr:from>
    <xdr:to>
      <xdr:col>7</xdr:col>
      <xdr:colOff>77973</xdr:colOff>
      <xdr:row>108</xdr:row>
      <xdr:rowOff>132984</xdr:rowOff>
    </xdr:to>
    <xdr:cxnSp macro="">
      <xdr:nvCxnSpPr>
        <xdr:cNvPr id="92" name="Straight Arrow Connector 91">
          <a:extLst>
            <a:ext uri="{FF2B5EF4-FFF2-40B4-BE49-F238E27FC236}">
              <a16:creationId xmlns:a16="http://schemas.microsoft.com/office/drawing/2014/main" id="{0EDA1E91-556E-416E-570E-855D7C7638FB}"/>
            </a:ext>
          </a:extLst>
        </xdr:cNvPr>
        <xdr:cNvCxnSpPr/>
      </xdr:nvCxnSpPr>
      <xdr:spPr>
        <a:xfrm>
          <a:off x="13502891163" y="22043386"/>
          <a:ext cx="207633" cy="3013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359654</xdr:colOff>
      <xdr:row>108</xdr:row>
      <xdr:rowOff>145576</xdr:rowOff>
    </xdr:from>
    <xdr:ext cx="66521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EC3FC66-BECE-8563-82FE-49C42359DCFF}"/>
                </a:ext>
              </a:extLst>
            </xdr:cNvPr>
            <xdr:cNvSpPr txBox="1"/>
          </xdr:nvSpPr>
          <xdr:spPr>
            <a:xfrm>
              <a:off x="13502768772" y="22357278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𝑥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EC3FC66-BECE-8563-82FE-49C42359DCFF}"/>
                </a:ext>
              </a:extLst>
            </xdr:cNvPr>
            <xdr:cNvSpPr txBox="1"/>
          </xdr:nvSpPr>
          <xdr:spPr>
            <a:xfrm>
              <a:off x="13502768772" y="22357278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𝑥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511989</xdr:colOff>
      <xdr:row>107</xdr:row>
      <xdr:rowOff>31160</xdr:rowOff>
    </xdr:from>
    <xdr:to>
      <xdr:col>6</xdr:col>
      <xdr:colOff>516821</xdr:colOff>
      <xdr:row>111</xdr:row>
      <xdr:rowOff>9974</xdr:rowOff>
    </xdr:to>
    <xdr:cxnSp macro="">
      <xdr:nvCxnSpPr>
        <xdr:cNvPr id="95" name="Straight Arrow Connector 94">
          <a:extLst>
            <a:ext uri="{FF2B5EF4-FFF2-40B4-BE49-F238E27FC236}">
              <a16:creationId xmlns:a16="http://schemas.microsoft.com/office/drawing/2014/main" id="{95B80337-5AD2-EFC7-498B-CCE56DD489FC}"/>
            </a:ext>
          </a:extLst>
        </xdr:cNvPr>
        <xdr:cNvCxnSpPr/>
      </xdr:nvCxnSpPr>
      <xdr:spPr>
        <a:xfrm>
          <a:off x="13503276817" y="22040061"/>
          <a:ext cx="4832" cy="79001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76465</xdr:colOff>
      <xdr:row>107</xdr:row>
      <xdr:rowOff>11211</xdr:rowOff>
    </xdr:from>
    <xdr:to>
      <xdr:col>6</xdr:col>
      <xdr:colOff>77973</xdr:colOff>
      <xdr:row>109</xdr:row>
      <xdr:rowOff>3323</xdr:rowOff>
    </xdr:to>
    <xdr:cxnSp macro="">
      <xdr:nvCxnSpPr>
        <xdr:cNvPr id="97" name="Straight Arrow Connector 96">
          <a:extLst>
            <a:ext uri="{FF2B5EF4-FFF2-40B4-BE49-F238E27FC236}">
              <a16:creationId xmlns:a16="http://schemas.microsoft.com/office/drawing/2014/main" id="{2897AB8E-45A7-AD44-9898-07134B1B1D26}"/>
            </a:ext>
          </a:extLst>
        </xdr:cNvPr>
        <xdr:cNvCxnSpPr/>
      </xdr:nvCxnSpPr>
      <xdr:spPr>
        <a:xfrm>
          <a:off x="13503715665" y="22020112"/>
          <a:ext cx="1508" cy="39771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432199</xdr:colOff>
      <xdr:row>106</xdr:row>
      <xdr:rowOff>177442</xdr:rowOff>
    </xdr:from>
    <xdr:to>
      <xdr:col>5</xdr:col>
      <xdr:colOff>433707</xdr:colOff>
      <xdr:row>108</xdr:row>
      <xdr:rowOff>169553</xdr:rowOff>
    </xdr:to>
    <xdr:cxnSp macro="">
      <xdr:nvCxnSpPr>
        <xdr:cNvPr id="99" name="Straight Arrow Connector 98">
          <a:extLst>
            <a:ext uri="{FF2B5EF4-FFF2-40B4-BE49-F238E27FC236}">
              <a16:creationId xmlns:a16="http://schemas.microsoft.com/office/drawing/2014/main" id="{EE65E9FA-7BBD-74CD-BE3D-11ACA1F43825}"/>
            </a:ext>
          </a:extLst>
        </xdr:cNvPr>
        <xdr:cNvCxnSpPr/>
      </xdr:nvCxnSpPr>
      <xdr:spPr>
        <a:xfrm>
          <a:off x="13504184434" y="21983541"/>
          <a:ext cx="1508" cy="39771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100335</xdr:colOff>
      <xdr:row>108</xdr:row>
      <xdr:rowOff>182146</xdr:rowOff>
    </xdr:from>
    <xdr:ext cx="66521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56B1B5B1-98D6-00A7-DF02-699B2D6BCEFC}"/>
                </a:ext>
              </a:extLst>
            </xdr:cNvPr>
            <xdr:cNvSpPr txBox="1"/>
          </xdr:nvSpPr>
          <xdr:spPr>
            <a:xfrm>
              <a:off x="13503852594" y="22393848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𝑥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56B1B5B1-98D6-00A7-DF02-699B2D6BCEFC}"/>
                </a:ext>
              </a:extLst>
            </xdr:cNvPr>
            <xdr:cNvSpPr txBox="1"/>
          </xdr:nvSpPr>
          <xdr:spPr>
            <a:xfrm>
              <a:off x="13503852594" y="22393848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𝑥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146282</xdr:colOff>
      <xdr:row>107</xdr:row>
      <xdr:rowOff>1237</xdr:rowOff>
    </xdr:from>
    <xdr:to>
      <xdr:col>5</xdr:col>
      <xdr:colOff>157765</xdr:colOff>
      <xdr:row>110</xdr:row>
      <xdr:rowOff>99738</xdr:rowOff>
    </xdr:to>
    <xdr:cxnSp macro="">
      <xdr:nvCxnSpPr>
        <xdr:cNvPr id="101" name="Straight Arrow Connector 100">
          <a:extLst>
            <a:ext uri="{FF2B5EF4-FFF2-40B4-BE49-F238E27FC236}">
              <a16:creationId xmlns:a16="http://schemas.microsoft.com/office/drawing/2014/main" id="{0586E9FC-61F7-ED26-C6D3-5E96C3D8E800}"/>
            </a:ext>
          </a:extLst>
        </xdr:cNvPr>
        <xdr:cNvCxnSpPr/>
      </xdr:nvCxnSpPr>
      <xdr:spPr>
        <a:xfrm>
          <a:off x="13504460376" y="22010138"/>
          <a:ext cx="11483" cy="70690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605079</xdr:colOff>
      <xdr:row>106</xdr:row>
      <xdr:rowOff>177442</xdr:rowOff>
    </xdr:from>
    <xdr:to>
      <xdr:col>4</xdr:col>
      <xdr:colOff>606587</xdr:colOff>
      <xdr:row>108</xdr:row>
      <xdr:rowOff>169553</xdr:rowOff>
    </xdr:to>
    <xdr:cxnSp macro="">
      <xdr:nvCxnSpPr>
        <xdr:cNvPr id="103" name="Straight Arrow Connector 102">
          <a:extLst>
            <a:ext uri="{FF2B5EF4-FFF2-40B4-BE49-F238E27FC236}">
              <a16:creationId xmlns:a16="http://schemas.microsoft.com/office/drawing/2014/main" id="{CE18B2A8-2346-E658-3591-24F744DD223C}"/>
            </a:ext>
          </a:extLst>
        </xdr:cNvPr>
        <xdr:cNvCxnSpPr/>
      </xdr:nvCxnSpPr>
      <xdr:spPr>
        <a:xfrm>
          <a:off x="13504836057" y="21983541"/>
          <a:ext cx="1508" cy="39771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149607</xdr:colOff>
      <xdr:row>106</xdr:row>
      <xdr:rowOff>190740</xdr:rowOff>
    </xdr:from>
    <xdr:to>
      <xdr:col>4</xdr:col>
      <xdr:colOff>154441</xdr:colOff>
      <xdr:row>108</xdr:row>
      <xdr:rowOff>0</xdr:rowOff>
    </xdr:to>
    <xdr:cxnSp macro="">
      <xdr:nvCxnSpPr>
        <xdr:cNvPr id="104" name="Straight Arrow Connector 103">
          <a:extLst>
            <a:ext uri="{FF2B5EF4-FFF2-40B4-BE49-F238E27FC236}">
              <a16:creationId xmlns:a16="http://schemas.microsoft.com/office/drawing/2014/main" id="{42727F57-5D99-4224-AA62-7B920208AA82}"/>
            </a:ext>
          </a:extLst>
        </xdr:cNvPr>
        <xdr:cNvCxnSpPr/>
      </xdr:nvCxnSpPr>
      <xdr:spPr>
        <a:xfrm>
          <a:off x="13505288203" y="21996839"/>
          <a:ext cx="4834" cy="21486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427080</xdr:colOff>
      <xdr:row>187</xdr:row>
      <xdr:rowOff>67434</xdr:rowOff>
    </xdr:from>
    <xdr:to>
      <xdr:col>4</xdr:col>
      <xdr:colOff>606903</xdr:colOff>
      <xdr:row>187</xdr:row>
      <xdr:rowOff>95531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81A65AFD-9CA8-1D7C-EAEC-45F6AD579638}"/>
            </a:ext>
          </a:extLst>
        </xdr:cNvPr>
        <xdr:cNvCxnSpPr/>
      </xdr:nvCxnSpPr>
      <xdr:spPr>
        <a:xfrm flipH="1" flipV="1">
          <a:off x="13530377699" y="38864248"/>
          <a:ext cx="1831947" cy="28097"/>
        </a:xfrm>
        <a:prstGeom prst="line">
          <a:avLst/>
        </a:prstGeom>
        <a:ln>
          <a:prstDash val="sysDash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421461</xdr:colOff>
      <xdr:row>176</xdr:row>
      <xdr:rowOff>73054</xdr:rowOff>
    </xdr:from>
    <xdr:to>
      <xdr:col>2</xdr:col>
      <xdr:colOff>179823</xdr:colOff>
      <xdr:row>179</xdr:row>
      <xdr:rowOff>151726</xdr:rowOff>
    </xdr:to>
    <xdr:sp macro="" textlink="">
      <xdr:nvSpPr>
        <xdr:cNvPr id="109" name="Rectangular Callout 108">
          <a:extLst>
            <a:ext uri="{FF2B5EF4-FFF2-40B4-BE49-F238E27FC236}">
              <a16:creationId xmlns:a16="http://schemas.microsoft.com/office/drawing/2014/main" id="{7BFF4729-C505-6CD9-0782-DBA0013136E3}"/>
            </a:ext>
          </a:extLst>
        </xdr:cNvPr>
        <xdr:cNvSpPr/>
      </xdr:nvSpPr>
      <xdr:spPr>
        <a:xfrm>
          <a:off x="13532456903" y="36644558"/>
          <a:ext cx="1590309" cy="685575"/>
        </a:xfrm>
        <a:prstGeom prst="wedgeRectCallout">
          <a:avLst>
            <a:gd name="adj1" fmla="val -57762"/>
            <a:gd name="adj2" fmla="val 1073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באסטרטגיית מרווח יורד: מחיר המימוש</a:t>
          </a:r>
          <a:r>
            <a:rPr lang="he-IL" sz="1100" baseline="0"/>
            <a:t> של אופציית ה - </a:t>
          </a:r>
          <a:r>
            <a:rPr lang="en-US" sz="1100" baseline="0"/>
            <a:t>PUT</a:t>
          </a:r>
          <a:r>
            <a:rPr lang="he-IL" sz="1100" baseline="0"/>
            <a:t> שקונים</a:t>
          </a:r>
          <a:endParaRPr lang="en-US" sz="1100"/>
        </a:p>
      </xdr:txBody>
    </xdr:sp>
    <xdr:clientData/>
  </xdr:twoCellAnchor>
  <xdr:twoCellAnchor>
    <xdr:from>
      <xdr:col>3</xdr:col>
      <xdr:colOff>101151</xdr:colOff>
      <xdr:row>184</xdr:row>
      <xdr:rowOff>44955</xdr:rowOff>
    </xdr:from>
    <xdr:to>
      <xdr:col>4</xdr:col>
      <xdr:colOff>511371</xdr:colOff>
      <xdr:row>186</xdr:row>
      <xdr:rowOff>162966</xdr:rowOff>
    </xdr:to>
    <xdr:sp macro="" textlink="">
      <xdr:nvSpPr>
        <xdr:cNvPr id="110" name="Rectangular Callout 109">
          <a:extLst>
            <a:ext uri="{FF2B5EF4-FFF2-40B4-BE49-F238E27FC236}">
              <a16:creationId xmlns:a16="http://schemas.microsoft.com/office/drawing/2014/main" id="{72E63EB5-1530-449C-B44E-7E7C42FA165B}"/>
            </a:ext>
          </a:extLst>
        </xdr:cNvPr>
        <xdr:cNvSpPr/>
      </xdr:nvSpPr>
      <xdr:spPr>
        <a:xfrm>
          <a:off x="13530473231" y="38234867"/>
          <a:ext cx="1236282" cy="522612"/>
        </a:xfrm>
        <a:prstGeom prst="wedgeRectCallout">
          <a:avLst>
            <a:gd name="adj1" fmla="val 12976"/>
            <a:gd name="adj2" fmla="val -6646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מחיר המימוש של ה - </a:t>
          </a:r>
          <a:r>
            <a:rPr lang="en-US" sz="1100"/>
            <a:t>PUT</a:t>
          </a:r>
          <a:r>
            <a:rPr lang="he-IL" sz="1100" baseline="0"/>
            <a:t> שכותבים</a:t>
          </a:r>
          <a:endParaRPr lang="en-US" sz="1100"/>
        </a:p>
      </xdr:txBody>
    </xdr: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201007</xdr:rowOff>
    </xdr:from>
    <xdr:to>
      <xdr:col>6</xdr:col>
      <xdr:colOff>817734</xdr:colOff>
      <xdr:row>8</xdr:row>
      <xdr:rowOff>79263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50B2E93-6757-E1E7-5443-1711EED769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41438957" y="201007"/>
          <a:ext cx="6007373" cy="1486314"/>
        </a:xfrm>
        <a:prstGeom prst="rect">
          <a:avLst/>
        </a:prstGeom>
      </xdr:spPr>
    </xdr:pic>
    <xdr:clientData/>
  </xdr:twoCellAnchor>
  <xdr:twoCellAnchor>
    <xdr:from>
      <xdr:col>8</xdr:col>
      <xdr:colOff>452034</xdr:colOff>
      <xdr:row>10</xdr:row>
      <xdr:rowOff>53814</xdr:rowOff>
    </xdr:from>
    <xdr:to>
      <xdr:col>8</xdr:col>
      <xdr:colOff>452034</xdr:colOff>
      <xdr:row>28</xdr:row>
      <xdr:rowOff>5381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1EC226CD-1577-190F-02D7-531FE0B1FF7F}"/>
            </a:ext>
          </a:extLst>
        </xdr:cNvPr>
        <xdr:cNvCxnSpPr/>
      </xdr:nvCxnSpPr>
      <xdr:spPr>
        <a:xfrm flipV="1">
          <a:off x="13482685932" y="2098729"/>
          <a:ext cx="0" cy="3632415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279829</xdr:colOff>
      <xdr:row>20</xdr:row>
      <xdr:rowOff>118390</xdr:rowOff>
    </xdr:from>
    <xdr:to>
      <xdr:col>8</xdr:col>
      <xdr:colOff>785677</xdr:colOff>
      <xdr:row>20</xdr:row>
      <xdr:rowOff>129153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A34CA44C-6C5A-EB91-933B-317E2B3533AE}"/>
            </a:ext>
          </a:extLst>
        </xdr:cNvPr>
        <xdr:cNvCxnSpPr/>
      </xdr:nvCxnSpPr>
      <xdr:spPr>
        <a:xfrm flipV="1">
          <a:off x="13482352289" y="4208221"/>
          <a:ext cx="2975890" cy="10763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7</xdr:col>
      <xdr:colOff>16144</xdr:colOff>
      <xdr:row>17</xdr:row>
      <xdr:rowOff>43051</xdr:rowOff>
    </xdr:from>
    <xdr:to>
      <xdr:col>8</xdr:col>
      <xdr:colOff>462797</xdr:colOff>
      <xdr:row>25</xdr:row>
      <xdr:rowOff>96865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C8B346EB-6E19-066F-5BFD-0376C572B453}"/>
            </a:ext>
          </a:extLst>
        </xdr:cNvPr>
        <xdr:cNvCxnSpPr/>
      </xdr:nvCxnSpPr>
      <xdr:spPr>
        <a:xfrm>
          <a:off x="13482675169" y="3519407"/>
          <a:ext cx="1270000" cy="1689746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678051</xdr:colOff>
      <xdr:row>11</xdr:row>
      <xdr:rowOff>188347</xdr:rowOff>
    </xdr:from>
    <xdr:to>
      <xdr:col>7</xdr:col>
      <xdr:colOff>21525</xdr:colOff>
      <xdr:row>25</xdr:row>
      <xdr:rowOff>102246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E11BC954-9097-B68E-F901-F9B60468A00B}"/>
            </a:ext>
          </a:extLst>
        </xdr:cNvPr>
        <xdr:cNvCxnSpPr/>
      </xdr:nvCxnSpPr>
      <xdr:spPr>
        <a:xfrm flipH="1">
          <a:off x="13483939788" y="2437754"/>
          <a:ext cx="1813517" cy="2776780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753390</xdr:colOff>
      <xdr:row>16</xdr:row>
      <xdr:rowOff>156274</xdr:rowOff>
    </xdr:from>
    <xdr:ext cx="1261723" cy="172227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CBA11436-BE63-4235-E2DD-B8C8155410C2}"/>
                </a:ext>
              </a:extLst>
            </xdr:cNvPr>
            <xdr:cNvSpPr txBox="1"/>
          </xdr:nvSpPr>
          <xdr:spPr>
            <a:xfrm>
              <a:off x="13481946200" y="3428138"/>
              <a:ext cx="126172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CBA11436-BE63-4235-E2DD-B8C8155410C2}"/>
                </a:ext>
              </a:extLst>
            </xdr:cNvPr>
            <xdr:cNvSpPr txBox="1"/>
          </xdr:nvSpPr>
          <xdr:spPr>
            <a:xfrm>
              <a:off x="13481946200" y="3428138"/>
              <a:ext cx="126172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204492</xdr:colOff>
      <xdr:row>20</xdr:row>
      <xdr:rowOff>118603</xdr:rowOff>
    </xdr:from>
    <xdr:ext cx="1261723" cy="172227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7DBE999A-08E5-EDE9-D35E-1B1780DEFD18}"/>
                </a:ext>
              </a:extLst>
            </xdr:cNvPr>
            <xdr:cNvSpPr txBox="1"/>
          </xdr:nvSpPr>
          <xdr:spPr>
            <a:xfrm>
              <a:off x="13483318446" y="4208434"/>
              <a:ext cx="126172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7DBE999A-08E5-EDE9-D35E-1B1780DEFD18}"/>
                </a:ext>
              </a:extLst>
            </xdr:cNvPr>
            <xdr:cNvSpPr txBox="1"/>
          </xdr:nvSpPr>
          <xdr:spPr>
            <a:xfrm>
              <a:off x="13483318446" y="4208434"/>
              <a:ext cx="126172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21526</xdr:colOff>
      <xdr:row>24</xdr:row>
      <xdr:rowOff>199323</xdr:rowOff>
    </xdr:from>
    <xdr:ext cx="1261723" cy="172227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8A87F5D4-604C-E925-1F6D-21F5C5036836}"/>
                </a:ext>
              </a:extLst>
            </xdr:cNvPr>
            <xdr:cNvSpPr txBox="1"/>
          </xdr:nvSpPr>
          <xdr:spPr>
            <a:xfrm>
              <a:off x="13481854717" y="5107120"/>
              <a:ext cx="126172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−39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8A87F5D4-604C-E925-1F6D-21F5C5036836}"/>
                </a:ext>
              </a:extLst>
            </xdr:cNvPr>
            <xdr:cNvSpPr txBox="1"/>
          </xdr:nvSpPr>
          <xdr:spPr>
            <a:xfrm>
              <a:off x="13481854717" y="5107120"/>
              <a:ext cx="126172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−39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301356</xdr:colOff>
      <xdr:row>20</xdr:row>
      <xdr:rowOff>140129</xdr:rowOff>
    </xdr:from>
    <xdr:ext cx="1261723" cy="172227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D9E2AD50-F9E5-6A15-AA41-F45B9C92E127}"/>
                </a:ext>
              </a:extLst>
            </xdr:cNvPr>
            <xdr:cNvSpPr txBox="1"/>
          </xdr:nvSpPr>
          <xdr:spPr>
            <a:xfrm>
              <a:off x="13484044929" y="4229960"/>
              <a:ext cx="126172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79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D9E2AD50-F9E5-6A15-AA41-F45B9C92E127}"/>
                </a:ext>
              </a:extLst>
            </xdr:cNvPr>
            <xdr:cNvSpPr txBox="1"/>
          </xdr:nvSpPr>
          <xdr:spPr>
            <a:xfrm>
              <a:off x="13484044929" y="4229960"/>
              <a:ext cx="126172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79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220636</xdr:colOff>
      <xdr:row>20</xdr:row>
      <xdr:rowOff>134748</xdr:rowOff>
    </xdr:from>
    <xdr:ext cx="1261723" cy="172227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0B523DBB-FEEE-62A6-8626-0B1EAB42E5BB}"/>
                </a:ext>
              </a:extLst>
            </xdr:cNvPr>
            <xdr:cNvSpPr txBox="1"/>
          </xdr:nvSpPr>
          <xdr:spPr>
            <a:xfrm>
              <a:off x="13482478954" y="4224579"/>
              <a:ext cx="126172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0B523DBB-FEEE-62A6-8626-0B1EAB42E5BB}"/>
                </a:ext>
              </a:extLst>
            </xdr:cNvPr>
            <xdr:cNvSpPr txBox="1"/>
          </xdr:nvSpPr>
          <xdr:spPr>
            <a:xfrm>
              <a:off x="13482478954" y="4224579"/>
              <a:ext cx="126172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96865</xdr:colOff>
      <xdr:row>10</xdr:row>
      <xdr:rowOff>188562</xdr:rowOff>
    </xdr:from>
    <xdr:ext cx="1261723" cy="172227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7A122A3E-7B4D-3ABE-B2D2-E0A13877C323}"/>
                </a:ext>
              </a:extLst>
            </xdr:cNvPr>
            <xdr:cNvSpPr txBox="1"/>
          </xdr:nvSpPr>
          <xdr:spPr>
            <a:xfrm>
              <a:off x="13485072768" y="2233477"/>
              <a:ext cx="126172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𝐿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𝑆𝑡𝑟𝑎𝑡𝑒𝑔𝑦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7A122A3E-7B4D-3ABE-B2D2-E0A13877C323}"/>
                </a:ext>
              </a:extLst>
            </xdr:cNvPr>
            <xdr:cNvSpPr txBox="1"/>
          </xdr:nvSpPr>
          <xdr:spPr>
            <a:xfrm>
              <a:off x="13485072768" y="2233477"/>
              <a:ext cx="126172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𝑃&amp;𝐿(𝑆𝑡𝑟𝑎𝑡𝑒𝑔𝑦)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0</xdr:colOff>
      <xdr:row>30</xdr:row>
      <xdr:rowOff>16143</xdr:rowOff>
    </xdr:from>
    <xdr:to>
      <xdr:col>7</xdr:col>
      <xdr:colOff>678683</xdr:colOff>
      <xdr:row>40</xdr:row>
      <xdr:rowOff>10763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5A9D4AAD-18F3-948C-6CAA-3605846740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83282630" y="6150889"/>
          <a:ext cx="6673514" cy="2039535"/>
        </a:xfrm>
        <a:prstGeom prst="rect">
          <a:avLst/>
        </a:prstGeom>
      </xdr:spPr>
    </xdr:pic>
    <xdr:clientData/>
  </xdr:twoCellAnchor>
  <xdr:twoCellAnchor>
    <xdr:from>
      <xdr:col>5</xdr:col>
      <xdr:colOff>464530</xdr:colOff>
      <xdr:row>76</xdr:row>
      <xdr:rowOff>21309</xdr:rowOff>
    </xdr:from>
    <xdr:to>
      <xdr:col>5</xdr:col>
      <xdr:colOff>490100</xdr:colOff>
      <xdr:row>87</xdr:row>
      <xdr:rowOff>110806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EEE98433-7D6E-FA48-80E8-3F74574B4D0F}"/>
            </a:ext>
          </a:extLst>
        </xdr:cNvPr>
        <xdr:cNvCxnSpPr/>
      </xdr:nvCxnSpPr>
      <xdr:spPr>
        <a:xfrm flipV="1">
          <a:off x="13516246900" y="16302709"/>
          <a:ext cx="25570" cy="232469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93758</xdr:colOff>
      <xdr:row>82</xdr:row>
      <xdr:rowOff>119328</xdr:rowOff>
    </xdr:from>
    <xdr:to>
      <xdr:col>5</xdr:col>
      <xdr:colOff>813993</xdr:colOff>
      <xdr:row>82</xdr:row>
      <xdr:rowOff>123590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86FC5B47-3A0F-9D4E-B1E1-B6EA4B6F90B0}"/>
            </a:ext>
          </a:extLst>
        </xdr:cNvPr>
        <xdr:cNvCxnSpPr/>
      </xdr:nvCxnSpPr>
      <xdr:spPr>
        <a:xfrm flipV="1">
          <a:off x="13515923007" y="17619928"/>
          <a:ext cx="3196735" cy="426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306846</xdr:colOff>
      <xdr:row>85</xdr:row>
      <xdr:rowOff>24377</xdr:rowOff>
    </xdr:from>
    <xdr:ext cx="746648" cy="172098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9C6C064C-246A-2445-9184-119C45770160}"/>
                </a:ext>
              </a:extLst>
            </xdr:cNvPr>
            <xdr:cNvSpPr txBox="1"/>
          </xdr:nvSpPr>
          <xdr:spPr>
            <a:xfrm>
              <a:off x="13515683506" y="18134577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−6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9C6C064C-246A-2445-9184-119C45770160}"/>
                </a:ext>
              </a:extLst>
            </xdr:cNvPr>
            <xdr:cNvSpPr txBox="1"/>
          </xdr:nvSpPr>
          <xdr:spPr>
            <a:xfrm>
              <a:off x="13515683506" y="18134577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707033</xdr:colOff>
      <xdr:row>85</xdr:row>
      <xdr:rowOff>115033</xdr:rowOff>
    </xdr:from>
    <xdr:to>
      <xdr:col>5</xdr:col>
      <xdr:colOff>490101</xdr:colOff>
      <xdr:row>85</xdr:row>
      <xdr:rowOff>115033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D3A12858-A6BC-9B47-D275-D99AC3CC7E2C}"/>
            </a:ext>
          </a:extLst>
        </xdr:cNvPr>
        <xdr:cNvCxnSpPr/>
      </xdr:nvCxnSpPr>
      <xdr:spPr>
        <a:xfrm>
          <a:off x="13520374399" y="17553110"/>
          <a:ext cx="608568" cy="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4838</xdr:colOff>
      <xdr:row>78</xdr:row>
      <xdr:rowOff>12785</xdr:rowOff>
    </xdr:from>
    <xdr:to>
      <xdr:col>4</xdr:col>
      <xdr:colOff>702777</xdr:colOff>
      <xdr:row>85</xdr:row>
      <xdr:rowOff>127852</xdr:rowOff>
    </xdr:to>
    <xdr:cxnSp macro="">
      <xdr:nvCxnSpPr>
        <xdr:cNvPr id="27" name="Straight Connector 26">
          <a:extLst>
            <a:ext uri="{FF2B5EF4-FFF2-40B4-BE49-F238E27FC236}">
              <a16:creationId xmlns:a16="http://schemas.microsoft.com/office/drawing/2014/main" id="{3AD2870B-2F4E-FFF4-E8B9-622317DD1043}"/>
            </a:ext>
          </a:extLst>
        </xdr:cNvPr>
        <xdr:cNvCxnSpPr/>
      </xdr:nvCxnSpPr>
      <xdr:spPr>
        <a:xfrm flipV="1">
          <a:off x="13520987223" y="16014785"/>
          <a:ext cx="697939" cy="1551144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351692</xdr:colOff>
      <xdr:row>78</xdr:row>
      <xdr:rowOff>21331</xdr:rowOff>
    </xdr:from>
    <xdr:to>
      <xdr:col>4</xdr:col>
      <xdr:colOff>4838</xdr:colOff>
      <xdr:row>83</xdr:row>
      <xdr:rowOff>190500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3C6DD710-FBA2-C1F8-2F3F-4B3630C52EDD}"/>
            </a:ext>
          </a:extLst>
        </xdr:cNvPr>
        <xdr:cNvCxnSpPr/>
      </xdr:nvCxnSpPr>
      <xdr:spPr>
        <a:xfrm flipH="1" flipV="1">
          <a:off x="13521685162" y="16023331"/>
          <a:ext cx="478646" cy="1194938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402243</xdr:colOff>
      <xdr:row>83</xdr:row>
      <xdr:rowOff>187691</xdr:rowOff>
    </xdr:from>
    <xdr:to>
      <xdr:col>3</xdr:col>
      <xdr:colOff>364052</xdr:colOff>
      <xdr:row>83</xdr:row>
      <xdr:rowOff>191964</xdr:rowOff>
    </xdr:to>
    <xdr:cxnSp macro="">
      <xdr:nvCxnSpPr>
        <xdr:cNvPr id="29" name="Straight Connector 28">
          <a:extLst>
            <a:ext uri="{FF2B5EF4-FFF2-40B4-BE49-F238E27FC236}">
              <a16:creationId xmlns:a16="http://schemas.microsoft.com/office/drawing/2014/main" id="{79B9CD00-7AF3-D9E1-8D85-F8974AC2F0C1}"/>
            </a:ext>
          </a:extLst>
        </xdr:cNvPr>
        <xdr:cNvCxnSpPr/>
      </xdr:nvCxnSpPr>
      <xdr:spPr>
        <a:xfrm>
          <a:off x="13522151448" y="17215460"/>
          <a:ext cx="787309" cy="427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737282</xdr:colOff>
      <xdr:row>77</xdr:row>
      <xdr:rowOff>127852</xdr:rowOff>
    </xdr:from>
    <xdr:to>
      <xdr:col>4</xdr:col>
      <xdr:colOff>98020</xdr:colOff>
      <xdr:row>78</xdr:row>
      <xdr:rowOff>115067</xdr:rowOff>
    </xdr:to>
    <xdr:sp macro="" textlink="">
      <xdr:nvSpPr>
        <xdr:cNvPr id="30" name="Smiley Face 29">
          <a:extLst>
            <a:ext uri="{FF2B5EF4-FFF2-40B4-BE49-F238E27FC236}">
              <a16:creationId xmlns:a16="http://schemas.microsoft.com/office/drawing/2014/main" id="{4F814C63-5090-0046-9398-3F12498ADB30}"/>
            </a:ext>
          </a:extLst>
        </xdr:cNvPr>
        <xdr:cNvSpPr/>
      </xdr:nvSpPr>
      <xdr:spPr>
        <a:xfrm>
          <a:off x="13517464480" y="16612452"/>
          <a:ext cx="186238" cy="190415"/>
        </a:xfrm>
        <a:prstGeom prst="smileyFac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340247</xdr:colOff>
      <xdr:row>82</xdr:row>
      <xdr:rowOff>119142</xdr:rowOff>
    </xdr:from>
    <xdr:to>
      <xdr:col>3</xdr:col>
      <xdr:colOff>346808</xdr:colOff>
      <xdr:row>83</xdr:row>
      <xdr:rowOff>166077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DEF42AA4-D224-634D-9C67-6ACBA58FDBDC}"/>
            </a:ext>
          </a:extLst>
        </xdr:cNvPr>
        <xdr:cNvCxnSpPr/>
      </xdr:nvCxnSpPr>
      <xdr:spPr>
        <a:xfrm flipH="1">
          <a:off x="13522168692" y="16941757"/>
          <a:ext cx="6561" cy="252089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304800</xdr:colOff>
      <xdr:row>82</xdr:row>
      <xdr:rowOff>6011</xdr:rowOff>
    </xdr:from>
    <xdr:ext cx="746648" cy="109517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A61E9C3B-DA5E-3546-A309-A8E433132515}"/>
                </a:ext>
              </a:extLst>
            </xdr:cNvPr>
            <xdr:cNvSpPr txBox="1"/>
          </xdr:nvSpPr>
          <xdr:spPr>
            <a:xfrm>
              <a:off x="13520638552" y="16668411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7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48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A61E9C3B-DA5E-3546-A309-A8E433132515}"/>
                </a:ext>
              </a:extLst>
            </xdr:cNvPr>
            <xdr:cNvSpPr txBox="1"/>
          </xdr:nvSpPr>
          <xdr:spPr>
            <a:xfrm>
              <a:off x="13520638552" y="16668411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7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6814</xdr:colOff>
      <xdr:row>79</xdr:row>
      <xdr:rowOff>437</xdr:rowOff>
    </xdr:from>
    <xdr:to>
      <xdr:col>4</xdr:col>
      <xdr:colOff>12785</xdr:colOff>
      <xdr:row>82</xdr:row>
      <xdr:rowOff>181420</xdr:rowOff>
    </xdr:to>
    <xdr:cxnSp macro="">
      <xdr:nvCxnSpPr>
        <xdr:cNvPr id="37" name="Straight Connector 36">
          <a:extLst>
            <a:ext uri="{FF2B5EF4-FFF2-40B4-BE49-F238E27FC236}">
              <a16:creationId xmlns:a16="http://schemas.microsoft.com/office/drawing/2014/main" id="{D0535986-2B5D-8442-B13C-0888DA321E4E}"/>
            </a:ext>
          </a:extLst>
        </xdr:cNvPr>
        <xdr:cNvCxnSpPr/>
      </xdr:nvCxnSpPr>
      <xdr:spPr>
        <a:xfrm flipH="1">
          <a:off x="13517549715" y="16891437"/>
          <a:ext cx="5971" cy="790583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64</xdr:row>
      <xdr:rowOff>95250</xdr:rowOff>
    </xdr:from>
    <xdr:to>
      <xdr:col>7</xdr:col>
      <xdr:colOff>730250</xdr:colOff>
      <xdr:row>67</xdr:row>
      <xdr:rowOff>102449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126F4CAB-9B91-71F9-8FB0-7A600435FC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18483250" y="13100050"/>
          <a:ext cx="6737350" cy="616799"/>
        </a:xfrm>
        <a:prstGeom prst="rect">
          <a:avLst/>
        </a:prstGeom>
      </xdr:spPr>
    </xdr:pic>
    <xdr:clientData/>
  </xdr:twoCellAnchor>
  <xdr:twoCellAnchor>
    <xdr:from>
      <xdr:col>4</xdr:col>
      <xdr:colOff>686264</xdr:colOff>
      <xdr:row>82</xdr:row>
      <xdr:rowOff>146487</xdr:rowOff>
    </xdr:from>
    <xdr:to>
      <xdr:col>4</xdr:col>
      <xdr:colOff>698500</xdr:colOff>
      <xdr:row>85</xdr:row>
      <xdr:rowOff>120650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290D1051-A068-570F-E103-B635FB0A93D9}"/>
            </a:ext>
          </a:extLst>
        </xdr:cNvPr>
        <xdr:cNvCxnSpPr/>
      </xdr:nvCxnSpPr>
      <xdr:spPr>
        <a:xfrm flipH="1">
          <a:off x="13520991500" y="16808887"/>
          <a:ext cx="12236" cy="583763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474972</xdr:colOff>
      <xdr:row>82</xdr:row>
      <xdr:rowOff>160670</xdr:rowOff>
    </xdr:from>
    <xdr:ext cx="746648" cy="172098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6DDC6763-079F-530C-79D6-9F63B094EA5F}"/>
                </a:ext>
              </a:extLst>
            </xdr:cNvPr>
            <xdr:cNvSpPr txBox="1"/>
          </xdr:nvSpPr>
          <xdr:spPr>
            <a:xfrm>
              <a:off x="13521293880" y="16823070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58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6DDC6763-079F-530C-79D6-9F63B094EA5F}"/>
                </a:ext>
              </a:extLst>
            </xdr:cNvPr>
            <xdr:cNvSpPr txBox="1"/>
          </xdr:nvSpPr>
          <xdr:spPr>
            <a:xfrm>
              <a:off x="13521293880" y="16823070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230220</xdr:colOff>
      <xdr:row>77</xdr:row>
      <xdr:rowOff>118137</xdr:rowOff>
    </xdr:from>
    <xdr:ext cx="746648" cy="172098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5465B2FA-02BC-091C-4C9C-3835BA1CB8DE}"/>
                </a:ext>
              </a:extLst>
            </xdr:cNvPr>
            <xdr:cNvSpPr txBox="1"/>
          </xdr:nvSpPr>
          <xdr:spPr>
            <a:xfrm>
              <a:off x="13519887632" y="15764537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5465B2FA-02BC-091C-4C9C-3835BA1CB8DE}"/>
                </a:ext>
              </a:extLst>
            </xdr:cNvPr>
            <xdr:cNvSpPr txBox="1"/>
          </xdr:nvSpPr>
          <xdr:spPr>
            <a:xfrm>
              <a:off x="13519887632" y="15764537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794286</xdr:colOff>
      <xdr:row>81</xdr:row>
      <xdr:rowOff>204191</xdr:rowOff>
    </xdr:from>
    <xdr:ext cx="746648" cy="109517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3F0D2773-B38D-0E1E-747E-C7866F559576}"/>
                </a:ext>
              </a:extLst>
            </xdr:cNvPr>
            <xdr:cNvSpPr txBox="1"/>
          </xdr:nvSpPr>
          <xdr:spPr>
            <a:xfrm>
              <a:off x="13521800066" y="16821653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7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64</m:t>
                    </m:r>
                  </m:oMath>
                </m:oMathPara>
              </a14:m>
              <a:endParaRPr lang="en-US" sz="700"/>
            </a:p>
          </xdr:txBody>
        </xdr:sp>
      </mc:Choice>
      <mc:Fallback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3F0D2773-B38D-0E1E-747E-C7866F559576}"/>
                </a:ext>
              </a:extLst>
            </xdr:cNvPr>
            <xdr:cNvSpPr txBox="1"/>
          </xdr:nvSpPr>
          <xdr:spPr>
            <a:xfrm>
              <a:off x="13521800066" y="16821653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7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64</a:t>
              </a:r>
              <a:endParaRPr lang="en-US" sz="700"/>
            </a:p>
          </xdr:txBody>
        </xdr:sp>
      </mc:Fallback>
    </mc:AlternateContent>
    <xdr:clientData/>
  </xdr:oneCellAnchor>
  <xdr:oneCellAnchor>
    <xdr:from>
      <xdr:col>3</xdr:col>
      <xdr:colOff>823369</xdr:colOff>
      <xdr:row>82</xdr:row>
      <xdr:rowOff>135355</xdr:rowOff>
    </xdr:from>
    <xdr:ext cx="746648" cy="172098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DFFD7B87-5FC4-2C65-F362-92A9A125D7E3}"/>
                </a:ext>
              </a:extLst>
            </xdr:cNvPr>
            <xdr:cNvSpPr txBox="1"/>
          </xdr:nvSpPr>
          <xdr:spPr>
            <a:xfrm>
              <a:off x="13520945483" y="16797755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54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DFFD7B87-5FC4-2C65-F362-92A9A125D7E3}"/>
                </a:ext>
              </a:extLst>
            </xdr:cNvPr>
            <xdr:cNvSpPr txBox="1"/>
          </xdr:nvSpPr>
          <xdr:spPr>
            <a:xfrm>
              <a:off x="13520945483" y="16797755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54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163012</xdr:colOff>
      <xdr:row>82</xdr:row>
      <xdr:rowOff>143708</xdr:rowOff>
    </xdr:from>
    <xdr:ext cx="746648" cy="172098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CE4D54DB-42B8-38FA-1D93-D108B96ED01D}"/>
                </a:ext>
              </a:extLst>
            </xdr:cNvPr>
            <xdr:cNvSpPr txBox="1"/>
          </xdr:nvSpPr>
          <xdr:spPr>
            <a:xfrm>
              <a:off x="13521605840" y="16806108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62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CE4D54DB-42B8-38FA-1D93-D108B96ED01D}"/>
                </a:ext>
              </a:extLst>
            </xdr:cNvPr>
            <xdr:cNvSpPr txBox="1"/>
          </xdr:nvSpPr>
          <xdr:spPr>
            <a:xfrm>
              <a:off x="13521605840" y="16806108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62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</xdr:colOff>
      <xdr:row>88</xdr:row>
      <xdr:rowOff>0</xdr:rowOff>
    </xdr:from>
    <xdr:to>
      <xdr:col>7</xdr:col>
      <xdr:colOff>270718</xdr:colOff>
      <xdr:row>93</xdr:row>
      <xdr:rowOff>76200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5DA80A95-34D5-50D1-C728-E52CCA9813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18942782" y="17881600"/>
          <a:ext cx="6277817" cy="1092200"/>
        </a:xfrm>
        <a:prstGeom prst="rect">
          <a:avLst/>
        </a:prstGeom>
      </xdr:spPr>
    </xdr:pic>
    <xdr:clientData/>
  </xdr:twoCellAnchor>
  <xdr:oneCellAnchor>
    <xdr:from>
      <xdr:col>5</xdr:col>
      <xdr:colOff>297077</xdr:colOff>
      <xdr:row>83</xdr:row>
      <xdr:rowOff>122070</xdr:rowOff>
    </xdr:from>
    <xdr:ext cx="746648" cy="172098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64661EDC-BB2C-79C9-B96D-0DC54AE7CA3B}"/>
                </a:ext>
              </a:extLst>
            </xdr:cNvPr>
            <xdr:cNvSpPr txBox="1"/>
          </xdr:nvSpPr>
          <xdr:spPr>
            <a:xfrm>
              <a:off x="13519820775" y="17149839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2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64661EDC-BB2C-79C9-B96D-0DC54AE7CA3B}"/>
                </a:ext>
              </a:extLst>
            </xdr:cNvPr>
            <xdr:cNvSpPr txBox="1"/>
          </xdr:nvSpPr>
          <xdr:spPr>
            <a:xfrm>
              <a:off x="13519820775" y="17149839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27</xdr:row>
      <xdr:rowOff>55913</xdr:rowOff>
    </xdr:from>
    <xdr:to>
      <xdr:col>1</xdr:col>
      <xdr:colOff>511196</xdr:colOff>
      <xdr:row>35</xdr:row>
      <xdr:rowOff>94978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16D033E-E54E-BF7C-D6EF-F25C8F9445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7855031" y="5974592"/>
          <a:ext cx="1333900" cy="1636550"/>
        </a:xfrm>
        <a:prstGeom prst="rect">
          <a:avLst/>
        </a:prstGeom>
      </xdr:spPr>
    </xdr:pic>
    <xdr:clientData/>
  </xdr:twoCellAnchor>
  <xdr:twoCellAnchor editAs="oneCell">
    <xdr:from>
      <xdr:col>3</xdr:col>
      <xdr:colOff>750818</xdr:colOff>
      <xdr:row>27</xdr:row>
      <xdr:rowOff>62775</xdr:rowOff>
    </xdr:from>
    <xdr:to>
      <xdr:col>5</xdr:col>
      <xdr:colOff>382197</xdr:colOff>
      <xdr:row>35</xdr:row>
      <xdr:rowOff>143772</xdr:rowOff>
    </xdr:to>
    <xdr:pic>
      <xdr:nvPicPr>
        <xdr:cNvPr id="3" name="Picture 2" descr="Trash Can w/Liner">
          <a:extLst>
            <a:ext uri="{FF2B5EF4-FFF2-40B4-BE49-F238E27FC236}">
              <a16:creationId xmlns:a16="http://schemas.microsoft.com/office/drawing/2014/main" id="{8C7D4D6C-86A7-C5F8-FD7D-0A101EB7C2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74693212" y="5981454"/>
          <a:ext cx="1276788" cy="1678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587375</xdr:colOff>
      <xdr:row>153</xdr:row>
      <xdr:rowOff>155574</xdr:rowOff>
    </xdr:from>
    <xdr:to>
      <xdr:col>8</xdr:col>
      <xdr:colOff>174625</xdr:colOff>
      <xdr:row>156</xdr:row>
      <xdr:rowOff>184149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E03785D1-867E-6986-7B67-03F7455EC9E1}"/>
            </a:ext>
          </a:extLst>
        </xdr:cNvPr>
        <xdr:cNvSpPr/>
      </xdr:nvSpPr>
      <xdr:spPr>
        <a:xfrm>
          <a:off x="13518213375" y="31727774"/>
          <a:ext cx="2063750" cy="638175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מתי נממש זכות (שקניתי ב-20) לקנות נכס בתמורה לתשלום נוסף של 100</a:t>
          </a:r>
          <a:endParaRPr 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766723</xdr:colOff>
      <xdr:row>63</xdr:row>
      <xdr:rowOff>204030</xdr:rowOff>
    </xdr:from>
    <xdr:to>
      <xdr:col>8</xdr:col>
      <xdr:colOff>807805</xdr:colOff>
      <xdr:row>67</xdr:row>
      <xdr:rowOff>174625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ADCFD54C-9B76-C034-251D-AF495EC132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7580195" y="13081830"/>
          <a:ext cx="866582" cy="808795"/>
        </a:xfrm>
        <a:prstGeom prst="rect">
          <a:avLst/>
        </a:prstGeom>
      </xdr:spPr>
    </xdr:pic>
    <xdr:clientData/>
  </xdr:twoCellAnchor>
  <xdr:twoCellAnchor editAs="oneCell">
    <xdr:from>
      <xdr:col>4</xdr:col>
      <xdr:colOff>547787</xdr:colOff>
      <xdr:row>88</xdr:row>
      <xdr:rowOff>18469</xdr:rowOff>
    </xdr:from>
    <xdr:to>
      <xdr:col>5</xdr:col>
      <xdr:colOff>299103</xdr:colOff>
      <xdr:row>90</xdr:row>
      <xdr:rowOff>56602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ECA0A75F-53EA-DFDB-4D5E-08D9B9BBE3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90418542" y="17945715"/>
          <a:ext cx="574976" cy="443061"/>
        </a:xfrm>
        <a:prstGeom prst="rect">
          <a:avLst/>
        </a:prstGeom>
      </xdr:spPr>
    </xdr:pic>
    <xdr:clientData/>
  </xdr:twoCellAnchor>
  <xdr:oneCellAnchor>
    <xdr:from>
      <xdr:col>0</xdr:col>
      <xdr:colOff>739775</xdr:colOff>
      <xdr:row>27</xdr:row>
      <xdr:rowOff>30162</xdr:rowOff>
    </xdr:from>
    <xdr:ext cx="9907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4E26F70-FC3F-3C9D-17C8-713FCBBEB41A}"/>
                </a:ext>
              </a:extLst>
            </xdr:cNvPr>
            <xdr:cNvSpPr txBox="1"/>
          </xdr:nvSpPr>
          <xdr:spPr>
            <a:xfrm>
              <a:off x="13523286907" y="5567362"/>
              <a:ext cx="9907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≤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𝑥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4E26F70-FC3F-3C9D-17C8-713FCBBEB41A}"/>
                </a:ext>
              </a:extLst>
            </xdr:cNvPr>
            <xdr:cNvSpPr txBox="1"/>
          </xdr:nvSpPr>
          <xdr:spPr>
            <a:xfrm>
              <a:off x="13523286907" y="5567362"/>
              <a:ext cx="9907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𝑠𝑡≤𝑥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736600</xdr:colOff>
      <xdr:row>21</xdr:row>
      <xdr:rowOff>33337</xdr:rowOff>
    </xdr:from>
    <xdr:ext cx="9907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FD0C4C52-8BDE-D32F-63F4-8382ABE5D131}"/>
                </a:ext>
              </a:extLst>
            </xdr:cNvPr>
            <xdr:cNvSpPr txBox="1"/>
          </xdr:nvSpPr>
          <xdr:spPr>
            <a:xfrm>
              <a:off x="13523290082" y="4351337"/>
              <a:ext cx="9907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&gt;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𝑥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FD0C4C52-8BDE-D32F-63F4-8382ABE5D131}"/>
                </a:ext>
              </a:extLst>
            </xdr:cNvPr>
            <xdr:cNvSpPr txBox="1"/>
          </xdr:nvSpPr>
          <xdr:spPr>
            <a:xfrm>
              <a:off x="13523290082" y="4351337"/>
              <a:ext cx="9907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</a:t>
              </a:r>
              <a:r>
                <a:rPr lang="he-IL" sz="1100" b="0" i="0">
                  <a:latin typeface="Cambria Math" panose="02040503050406030204" pitchFamily="18" charset="0"/>
                </a:rPr>
                <a:t>&gt;</a:t>
              </a:r>
              <a:r>
                <a:rPr lang="en-US" sz="1100" b="0" i="0">
                  <a:latin typeface="Cambria Math" panose="02040503050406030204" pitchFamily="18" charset="0"/>
                </a:rPr>
                <a:t>𝑥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415925</xdr:colOff>
      <xdr:row>26</xdr:row>
      <xdr:rowOff>19050</xdr:rowOff>
    </xdr:from>
    <xdr:to>
      <xdr:col>7</xdr:col>
      <xdr:colOff>428625</xdr:colOff>
      <xdr:row>37</xdr:row>
      <xdr:rowOff>196850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900D068F-D36A-6050-2B9A-E87FD087D740}"/>
            </a:ext>
          </a:extLst>
        </xdr:cNvPr>
        <xdr:cNvCxnSpPr/>
      </xdr:nvCxnSpPr>
      <xdr:spPr>
        <a:xfrm flipH="1" flipV="1">
          <a:off x="13518784875" y="5353050"/>
          <a:ext cx="12700" cy="241300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485775</xdr:colOff>
      <xdr:row>34</xdr:row>
      <xdr:rowOff>104775</xdr:rowOff>
    </xdr:from>
    <xdr:to>
      <xdr:col>7</xdr:col>
      <xdr:colOff>723900</xdr:colOff>
      <xdr:row>34</xdr:row>
      <xdr:rowOff>120650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8132AEB1-F1BE-878A-4F78-9F8FB5ABB8EE}"/>
            </a:ext>
          </a:extLst>
        </xdr:cNvPr>
        <xdr:cNvCxnSpPr/>
      </xdr:nvCxnSpPr>
      <xdr:spPr>
        <a:xfrm flipV="1">
          <a:off x="13518489600" y="7064375"/>
          <a:ext cx="2714625" cy="158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695325</xdr:colOff>
      <xdr:row>34</xdr:row>
      <xdr:rowOff>66675</xdr:rowOff>
    </xdr:from>
    <xdr:to>
      <xdr:col>7</xdr:col>
      <xdr:colOff>396875</xdr:colOff>
      <xdr:row>34</xdr:row>
      <xdr:rowOff>76200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BCACB2EE-9A69-F8F0-D04F-5707CDA00AA5}"/>
            </a:ext>
          </a:extLst>
        </xdr:cNvPr>
        <xdr:cNvCxnSpPr/>
      </xdr:nvCxnSpPr>
      <xdr:spPr>
        <a:xfrm flipV="1">
          <a:off x="13518816625" y="7026275"/>
          <a:ext cx="1352550" cy="952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57150</xdr:colOff>
      <xdr:row>27</xdr:row>
      <xdr:rowOff>169862</xdr:rowOff>
    </xdr:from>
    <xdr:ext cx="8764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EA7D8FD3-485B-354B-E57D-CFC88F1971B3}"/>
                </a:ext>
              </a:extLst>
            </xdr:cNvPr>
            <xdr:cNvSpPr txBox="1"/>
          </xdr:nvSpPr>
          <xdr:spPr>
            <a:xfrm>
              <a:off x="13520756432" y="5707062"/>
              <a:ext cx="8764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𝐶𝐹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EA7D8FD3-485B-354B-E57D-CFC88F1971B3}"/>
                </a:ext>
              </a:extLst>
            </xdr:cNvPr>
            <xdr:cNvSpPr txBox="1"/>
          </xdr:nvSpPr>
          <xdr:spPr>
            <a:xfrm>
              <a:off x="13520756432" y="5707062"/>
              <a:ext cx="8764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𝐶𝐹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514350</xdr:colOff>
      <xdr:row>28</xdr:row>
      <xdr:rowOff>155575</xdr:rowOff>
    </xdr:from>
    <xdr:to>
      <xdr:col>5</xdr:col>
      <xdr:colOff>701675</xdr:colOff>
      <xdr:row>34</xdr:row>
      <xdr:rowOff>66675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997B8F0B-075A-8384-6209-3F4176A24E0A}"/>
            </a:ext>
          </a:extLst>
        </xdr:cNvPr>
        <xdr:cNvCxnSpPr/>
      </xdr:nvCxnSpPr>
      <xdr:spPr>
        <a:xfrm flipV="1">
          <a:off x="13520162825" y="5895975"/>
          <a:ext cx="1012825" cy="113030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695325</xdr:colOff>
      <xdr:row>36</xdr:row>
      <xdr:rowOff>50800</xdr:rowOff>
    </xdr:from>
    <xdr:to>
      <xdr:col>7</xdr:col>
      <xdr:colOff>396875</xdr:colOff>
      <xdr:row>36</xdr:row>
      <xdr:rowOff>60325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866AF3C3-90C5-01C6-41B2-F5C2BF492615}"/>
            </a:ext>
          </a:extLst>
        </xdr:cNvPr>
        <xdr:cNvCxnSpPr/>
      </xdr:nvCxnSpPr>
      <xdr:spPr>
        <a:xfrm flipV="1">
          <a:off x="13518816625" y="7416800"/>
          <a:ext cx="1352550" cy="9525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514350</xdr:colOff>
      <xdr:row>30</xdr:row>
      <xdr:rowOff>139700</xdr:rowOff>
    </xdr:from>
    <xdr:to>
      <xdr:col>5</xdr:col>
      <xdr:colOff>701675</xdr:colOff>
      <xdr:row>36</xdr:row>
      <xdr:rowOff>50800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67D0107B-B257-141E-B9B3-D8954D2DD651}"/>
            </a:ext>
          </a:extLst>
        </xdr:cNvPr>
        <xdr:cNvCxnSpPr/>
      </xdr:nvCxnSpPr>
      <xdr:spPr>
        <a:xfrm flipV="1">
          <a:off x="13520162825" y="6286500"/>
          <a:ext cx="1012825" cy="11303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733425</xdr:colOff>
      <xdr:row>30</xdr:row>
      <xdr:rowOff>93662</xdr:rowOff>
    </xdr:from>
    <xdr:ext cx="8764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04A3C1C8-A59A-930C-1C65-A66FB7C48BB6}"/>
                </a:ext>
              </a:extLst>
            </xdr:cNvPr>
            <xdr:cNvSpPr txBox="1"/>
          </xdr:nvSpPr>
          <xdr:spPr>
            <a:xfrm>
              <a:off x="13520905657" y="6240462"/>
              <a:ext cx="8764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>
                <a:solidFill>
                  <a:srgbClr val="00B050"/>
                </a:solidFill>
              </a:endParaRPr>
            </a:p>
          </xdr:txBody>
        </xdr:sp>
      </mc:Choice>
      <mc:Fallback xmlns="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04A3C1C8-A59A-930C-1C65-A66FB7C48BB6}"/>
                </a:ext>
              </a:extLst>
            </xdr:cNvPr>
            <xdr:cNvSpPr txBox="1"/>
          </xdr:nvSpPr>
          <xdr:spPr>
            <a:xfrm>
              <a:off x="13520905657" y="6240462"/>
              <a:ext cx="8764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𝑃&amp;𝐿</a:t>
              </a:r>
              <a:endParaRPr lang="en-US" sz="1100">
                <a:solidFill>
                  <a:srgbClr val="00B050"/>
                </a:solidFill>
              </a:endParaRPr>
            </a:p>
          </xdr:txBody>
        </xdr:sp>
      </mc:Fallback>
    </mc:AlternateContent>
    <xdr:clientData/>
  </xdr:oneCellAnchor>
  <xdr:twoCellAnchor>
    <xdr:from>
      <xdr:col>6</xdr:col>
      <xdr:colOff>657225</xdr:colOff>
      <xdr:row>34</xdr:row>
      <xdr:rowOff>120650</xdr:rowOff>
    </xdr:from>
    <xdr:to>
      <xdr:col>6</xdr:col>
      <xdr:colOff>666750</xdr:colOff>
      <xdr:row>36</xdr:row>
      <xdr:rowOff>44450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67F4D923-5656-295A-3A9C-ECF215143925}"/>
            </a:ext>
          </a:extLst>
        </xdr:cNvPr>
        <xdr:cNvCxnSpPr/>
      </xdr:nvCxnSpPr>
      <xdr:spPr>
        <a:xfrm flipH="1">
          <a:off x="13519372250" y="7080250"/>
          <a:ext cx="9525" cy="33020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114300</xdr:colOff>
      <xdr:row>35</xdr:row>
      <xdr:rowOff>11112</xdr:rowOff>
    </xdr:from>
    <xdr:ext cx="8764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F6E59C95-6D8C-A437-08EE-D8DB4F6596AA}"/>
                </a:ext>
              </a:extLst>
            </xdr:cNvPr>
            <xdr:cNvSpPr txBox="1"/>
          </xdr:nvSpPr>
          <xdr:spPr>
            <a:xfrm>
              <a:off x="13519048282" y="7173912"/>
              <a:ext cx="8764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F6E59C95-6D8C-A437-08EE-D8DB4F6596AA}"/>
                </a:ext>
              </a:extLst>
            </xdr:cNvPr>
            <xdr:cNvSpPr txBox="1"/>
          </xdr:nvSpPr>
          <xdr:spPr>
            <a:xfrm>
              <a:off x="13519048282" y="7173912"/>
              <a:ext cx="8764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333375</xdr:colOff>
      <xdr:row>34</xdr:row>
      <xdr:rowOff>80962</xdr:rowOff>
    </xdr:from>
    <xdr:ext cx="8891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BC061B89-2AE2-78A0-8556-9159619988F3}"/>
                </a:ext>
              </a:extLst>
            </xdr:cNvPr>
            <xdr:cNvSpPr txBox="1"/>
          </xdr:nvSpPr>
          <xdr:spPr>
            <a:xfrm>
              <a:off x="13519642007" y="7040562"/>
              <a:ext cx="8891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BC061B89-2AE2-78A0-8556-9159619988F3}"/>
                </a:ext>
              </a:extLst>
            </xdr:cNvPr>
            <xdr:cNvSpPr txBox="1"/>
          </xdr:nvSpPr>
          <xdr:spPr>
            <a:xfrm>
              <a:off x="13519642007" y="7040562"/>
              <a:ext cx="8891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28575</xdr:colOff>
      <xdr:row>33</xdr:row>
      <xdr:rowOff>166687</xdr:rowOff>
    </xdr:from>
    <xdr:ext cx="8891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0470BF2C-72C5-58A3-FDDA-F7F5E4CA0217}"/>
                </a:ext>
              </a:extLst>
            </xdr:cNvPr>
            <xdr:cNvSpPr txBox="1"/>
          </xdr:nvSpPr>
          <xdr:spPr>
            <a:xfrm>
              <a:off x="13518295807" y="6923087"/>
              <a:ext cx="8891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0470BF2C-72C5-58A3-FDDA-F7F5E4CA0217}"/>
                </a:ext>
              </a:extLst>
            </xdr:cNvPr>
            <xdr:cNvSpPr txBox="1"/>
          </xdr:nvSpPr>
          <xdr:spPr>
            <a:xfrm>
              <a:off x="13518295807" y="6923087"/>
              <a:ext cx="8891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136525</xdr:colOff>
      <xdr:row>35</xdr:row>
      <xdr:rowOff>173037</xdr:rowOff>
    </xdr:from>
    <xdr:ext cx="8891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0FFEC644-3118-5B82-CEED-9D907FA90DA5}"/>
                </a:ext>
              </a:extLst>
            </xdr:cNvPr>
            <xdr:cNvSpPr txBox="1"/>
          </xdr:nvSpPr>
          <xdr:spPr>
            <a:xfrm>
              <a:off x="13518187857" y="7335837"/>
              <a:ext cx="8891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0FFEC644-3118-5B82-CEED-9D907FA90DA5}"/>
                </a:ext>
              </a:extLst>
            </xdr:cNvPr>
            <xdr:cNvSpPr txBox="1"/>
          </xdr:nvSpPr>
          <xdr:spPr>
            <a:xfrm>
              <a:off x="13518187857" y="7335837"/>
              <a:ext cx="8891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666750</xdr:colOff>
      <xdr:row>34</xdr:row>
      <xdr:rowOff>100012</xdr:rowOff>
    </xdr:from>
    <xdr:ext cx="8891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A218F4DC-FB25-C863-D533-B567EEA88486}"/>
                </a:ext>
              </a:extLst>
            </xdr:cNvPr>
            <xdr:cNvSpPr txBox="1"/>
          </xdr:nvSpPr>
          <xdr:spPr>
            <a:xfrm>
              <a:off x="13520134132" y="7059612"/>
              <a:ext cx="8891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A218F4DC-FB25-C863-D533-B567EEA88486}"/>
                </a:ext>
              </a:extLst>
            </xdr:cNvPr>
            <xdr:cNvSpPr txBox="1"/>
          </xdr:nvSpPr>
          <xdr:spPr>
            <a:xfrm>
              <a:off x="13520134132" y="7059612"/>
              <a:ext cx="8891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609600</xdr:colOff>
      <xdr:row>77</xdr:row>
      <xdr:rowOff>73025</xdr:rowOff>
    </xdr:from>
    <xdr:to>
      <xdr:col>6</xdr:col>
      <xdr:colOff>612775</xdr:colOff>
      <xdr:row>90</xdr:row>
      <xdr:rowOff>101600</xdr:rowOff>
    </xdr:to>
    <xdr:cxnSp macro="">
      <xdr:nvCxnSpPr>
        <xdr:cNvPr id="60" name="Straight Arrow Connector 59">
          <a:extLst>
            <a:ext uri="{FF2B5EF4-FFF2-40B4-BE49-F238E27FC236}">
              <a16:creationId xmlns:a16="http://schemas.microsoft.com/office/drawing/2014/main" id="{A1AD743F-CD82-56A9-6B17-6751CD04B1A9}"/>
            </a:ext>
          </a:extLst>
        </xdr:cNvPr>
        <xdr:cNvCxnSpPr/>
      </xdr:nvCxnSpPr>
      <xdr:spPr>
        <a:xfrm flipH="1" flipV="1">
          <a:off x="13519426225" y="15821025"/>
          <a:ext cx="3175" cy="26701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273051</xdr:colOff>
      <xdr:row>75</xdr:row>
      <xdr:rowOff>65087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1" name="TextBox 60">
              <a:extLst>
                <a:ext uri="{FF2B5EF4-FFF2-40B4-BE49-F238E27FC236}">
                  <a16:creationId xmlns:a16="http://schemas.microsoft.com/office/drawing/2014/main" id="{1D9AE05B-BC4E-AE2B-AD7D-8AD05953009F}"/>
                </a:ext>
              </a:extLst>
            </xdr:cNvPr>
            <xdr:cNvSpPr txBox="1"/>
          </xdr:nvSpPr>
          <xdr:spPr>
            <a:xfrm>
              <a:off x="13519140356" y="15406687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𝐶𝐹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1" name="TextBox 60">
              <a:extLst>
                <a:ext uri="{FF2B5EF4-FFF2-40B4-BE49-F238E27FC236}">
                  <a16:creationId xmlns:a16="http://schemas.microsoft.com/office/drawing/2014/main" id="{1D9AE05B-BC4E-AE2B-AD7D-8AD05953009F}"/>
                </a:ext>
              </a:extLst>
            </xdr:cNvPr>
            <xdr:cNvSpPr txBox="1"/>
          </xdr:nvSpPr>
          <xdr:spPr>
            <a:xfrm>
              <a:off x="13519140356" y="15406687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𝐶𝐹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282576</xdr:colOff>
      <xdr:row>76</xdr:row>
      <xdr:rowOff>58737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E9FC57C4-FA10-750A-23BC-A5EECD012A16}"/>
                </a:ext>
              </a:extLst>
            </xdr:cNvPr>
            <xdr:cNvSpPr txBox="1"/>
          </xdr:nvSpPr>
          <xdr:spPr>
            <a:xfrm>
              <a:off x="13519130831" y="15603537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>
                <a:solidFill>
                  <a:srgbClr val="00B050"/>
                </a:solidFill>
              </a:endParaRPr>
            </a:p>
          </xdr:txBody>
        </xdr:sp>
      </mc:Choice>
      <mc:Fallback xmlns="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E9FC57C4-FA10-750A-23BC-A5EECD012A16}"/>
                </a:ext>
              </a:extLst>
            </xdr:cNvPr>
            <xdr:cNvSpPr txBox="1"/>
          </xdr:nvSpPr>
          <xdr:spPr>
            <a:xfrm>
              <a:off x="13519130831" y="15603537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𝑃&amp;𝐿</a:t>
              </a:r>
              <a:endParaRPr lang="en-US" sz="1100">
                <a:solidFill>
                  <a:srgbClr val="00B050"/>
                </a:solidFill>
              </a:endParaRPr>
            </a:p>
          </xdr:txBody>
        </xdr:sp>
      </mc:Fallback>
    </mc:AlternateContent>
    <xdr:clientData/>
  </xdr:oneCellAnchor>
  <xdr:twoCellAnchor>
    <xdr:from>
      <xdr:col>4</xdr:col>
      <xdr:colOff>104775</xdr:colOff>
      <xdr:row>86</xdr:row>
      <xdr:rowOff>92075</xdr:rowOff>
    </xdr:from>
    <xdr:to>
      <xdr:col>6</xdr:col>
      <xdr:colOff>781050</xdr:colOff>
      <xdr:row>86</xdr:row>
      <xdr:rowOff>98425</xdr:rowOff>
    </xdr:to>
    <xdr:cxnSp macro="">
      <xdr:nvCxnSpPr>
        <xdr:cNvPr id="63" name="Straight Arrow Connector 62">
          <a:extLst>
            <a:ext uri="{FF2B5EF4-FFF2-40B4-BE49-F238E27FC236}">
              <a16:creationId xmlns:a16="http://schemas.microsoft.com/office/drawing/2014/main" id="{76EAE7F6-6ABC-A0C4-42B2-64909BD2F692}"/>
            </a:ext>
          </a:extLst>
        </xdr:cNvPr>
        <xdr:cNvCxnSpPr/>
      </xdr:nvCxnSpPr>
      <xdr:spPr>
        <a:xfrm flipV="1">
          <a:off x="13519257950" y="17668875"/>
          <a:ext cx="2327275" cy="6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501651</xdr:colOff>
      <xdr:row>86</xdr:row>
      <xdr:rowOff>1587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16C45A2-3965-C41E-28D6-D9BA35E8BE08}"/>
                </a:ext>
              </a:extLst>
            </xdr:cNvPr>
            <xdr:cNvSpPr txBox="1"/>
          </xdr:nvSpPr>
          <xdr:spPr>
            <a:xfrm>
              <a:off x="13521388256" y="17578387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𝑠𝑡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16C45A2-3965-C41E-28D6-D9BA35E8BE08}"/>
                </a:ext>
              </a:extLst>
            </xdr:cNvPr>
            <xdr:cNvSpPr txBox="1"/>
          </xdr:nvSpPr>
          <xdr:spPr>
            <a:xfrm>
              <a:off x="13521388256" y="17578387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𝑠𝑡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28575</xdr:colOff>
      <xdr:row>86</xdr:row>
      <xdr:rowOff>66675</xdr:rowOff>
    </xdr:from>
    <xdr:to>
      <xdr:col>6</xdr:col>
      <xdr:colOff>625475</xdr:colOff>
      <xdr:row>86</xdr:row>
      <xdr:rowOff>69850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FF525461-7572-5C13-6459-1D8483A04805}"/>
            </a:ext>
          </a:extLst>
        </xdr:cNvPr>
        <xdr:cNvCxnSpPr/>
      </xdr:nvCxnSpPr>
      <xdr:spPr>
        <a:xfrm>
          <a:off x="13519413525" y="17643475"/>
          <a:ext cx="1422400" cy="317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552451</xdr:colOff>
      <xdr:row>86</xdr:row>
      <xdr:rowOff>100012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A7402BCD-2D29-FEB2-3A2C-707C867DE028}"/>
                </a:ext>
              </a:extLst>
            </xdr:cNvPr>
            <xdr:cNvSpPr txBox="1"/>
          </xdr:nvSpPr>
          <xdr:spPr>
            <a:xfrm>
              <a:off x="13520511956" y="1767681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A7402BCD-2D29-FEB2-3A2C-707C867DE028}"/>
                </a:ext>
              </a:extLst>
            </xdr:cNvPr>
            <xdr:cNvSpPr txBox="1"/>
          </xdr:nvSpPr>
          <xdr:spPr>
            <a:xfrm>
              <a:off x="13520511956" y="1767681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688975</xdr:colOff>
      <xdr:row>79</xdr:row>
      <xdr:rowOff>196850</xdr:rowOff>
    </xdr:from>
    <xdr:to>
      <xdr:col>5</xdr:col>
      <xdr:colOff>28575</xdr:colOff>
      <xdr:row>86</xdr:row>
      <xdr:rowOff>69850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2FD2E43B-CA1B-1CDC-9418-E3780484AFF7}"/>
            </a:ext>
          </a:extLst>
        </xdr:cNvPr>
        <xdr:cNvCxnSpPr/>
      </xdr:nvCxnSpPr>
      <xdr:spPr>
        <a:xfrm flipV="1">
          <a:off x="13520835925" y="16351250"/>
          <a:ext cx="990600" cy="129540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298451</xdr:colOff>
      <xdr:row>79</xdr:row>
      <xdr:rowOff>39687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A88C91B8-2AF8-6406-6BE9-3CBF81572185}"/>
                </a:ext>
              </a:extLst>
            </xdr:cNvPr>
            <xdr:cNvSpPr txBox="1"/>
          </xdr:nvSpPr>
          <xdr:spPr>
            <a:xfrm>
              <a:off x="13521591456" y="16194087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𝐶𝐹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A88C91B8-2AF8-6406-6BE9-3CBF81572185}"/>
                </a:ext>
              </a:extLst>
            </xdr:cNvPr>
            <xdr:cNvSpPr txBox="1"/>
          </xdr:nvSpPr>
          <xdr:spPr>
            <a:xfrm>
              <a:off x="13521591456" y="16194087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𝐶𝐹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9525</xdr:colOff>
      <xdr:row>88</xdr:row>
      <xdr:rowOff>101600</xdr:rowOff>
    </xdr:from>
    <xdr:to>
      <xdr:col>6</xdr:col>
      <xdr:colOff>606425</xdr:colOff>
      <xdr:row>88</xdr:row>
      <xdr:rowOff>104775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002B2288-33C1-31F0-5EE1-B4F8038A71D1}"/>
            </a:ext>
          </a:extLst>
        </xdr:cNvPr>
        <xdr:cNvCxnSpPr/>
      </xdr:nvCxnSpPr>
      <xdr:spPr>
        <a:xfrm>
          <a:off x="13519432575" y="18084800"/>
          <a:ext cx="1422400" cy="3175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669925</xdr:colOff>
      <xdr:row>82</xdr:row>
      <xdr:rowOff>28575</xdr:rowOff>
    </xdr:from>
    <xdr:to>
      <xdr:col>5</xdr:col>
      <xdr:colOff>9525</xdr:colOff>
      <xdr:row>88</xdr:row>
      <xdr:rowOff>104775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9A2B35C1-C3E8-0DD6-1090-823C057C42B1}"/>
            </a:ext>
          </a:extLst>
        </xdr:cNvPr>
        <xdr:cNvCxnSpPr/>
      </xdr:nvCxnSpPr>
      <xdr:spPr>
        <a:xfrm flipV="1">
          <a:off x="13520854975" y="16792575"/>
          <a:ext cx="990600" cy="12954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257176</xdr:colOff>
      <xdr:row>81</xdr:row>
      <xdr:rowOff>93662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7A6E324B-03C8-ADB3-D13C-D00F5F483F94}"/>
                </a:ext>
              </a:extLst>
            </xdr:cNvPr>
            <xdr:cNvSpPr txBox="1"/>
          </xdr:nvSpPr>
          <xdr:spPr>
            <a:xfrm>
              <a:off x="13521632731" y="1665446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>
                <a:solidFill>
                  <a:srgbClr val="00B050"/>
                </a:solidFill>
              </a:endParaRPr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7A6E324B-03C8-ADB3-D13C-D00F5F483F94}"/>
                </a:ext>
              </a:extLst>
            </xdr:cNvPr>
            <xdr:cNvSpPr txBox="1"/>
          </xdr:nvSpPr>
          <xdr:spPr>
            <a:xfrm>
              <a:off x="13521632731" y="1665446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𝑃&amp;𝐿</a:t>
              </a:r>
              <a:endParaRPr lang="en-US" sz="1100">
                <a:solidFill>
                  <a:srgbClr val="00B050"/>
                </a:solidFill>
              </a:endParaRPr>
            </a:p>
          </xdr:txBody>
        </xdr:sp>
      </mc:Fallback>
    </mc:AlternateContent>
    <xdr:clientData/>
  </xdr:oneCellAnchor>
  <xdr:oneCellAnchor>
    <xdr:from>
      <xdr:col>6</xdr:col>
      <xdr:colOff>365126</xdr:colOff>
      <xdr:row>85</xdr:row>
      <xdr:rowOff>106362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4FC9B2CE-7A23-E6BF-B029-B37F3C84935E}"/>
                </a:ext>
              </a:extLst>
            </xdr:cNvPr>
            <xdr:cNvSpPr txBox="1"/>
          </xdr:nvSpPr>
          <xdr:spPr>
            <a:xfrm>
              <a:off x="13519048281" y="1747996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4FC9B2CE-7A23-E6BF-B029-B37F3C84935E}"/>
                </a:ext>
              </a:extLst>
            </xdr:cNvPr>
            <xdr:cNvSpPr txBox="1"/>
          </xdr:nvSpPr>
          <xdr:spPr>
            <a:xfrm>
              <a:off x="13519048281" y="1747996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460376</xdr:colOff>
      <xdr:row>88</xdr:row>
      <xdr:rowOff>11112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E0D03D6D-A9A6-3F88-9CBD-48F6855F4C27}"/>
                </a:ext>
              </a:extLst>
            </xdr:cNvPr>
            <xdr:cNvSpPr txBox="1"/>
          </xdr:nvSpPr>
          <xdr:spPr>
            <a:xfrm>
              <a:off x="13518953031" y="1799431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−10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E0D03D6D-A9A6-3F88-9CBD-48F6855F4C27}"/>
                </a:ext>
              </a:extLst>
            </xdr:cNvPr>
            <xdr:cNvSpPr txBox="1"/>
          </xdr:nvSpPr>
          <xdr:spPr>
            <a:xfrm>
              <a:off x="13518953031" y="1799431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−10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120651</xdr:colOff>
      <xdr:row>86</xdr:row>
      <xdr:rowOff>100012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61375A11-EECA-AAEA-0B77-7C9E7B4E2F9C}"/>
                </a:ext>
              </a:extLst>
            </xdr:cNvPr>
            <xdr:cNvSpPr txBox="1"/>
          </xdr:nvSpPr>
          <xdr:spPr>
            <a:xfrm>
              <a:off x="13520943756" y="1767681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61375A11-EECA-AAEA-0B77-7C9E7B4E2F9C}"/>
                </a:ext>
              </a:extLst>
            </xdr:cNvPr>
            <xdr:cNvSpPr txBox="1"/>
          </xdr:nvSpPr>
          <xdr:spPr>
            <a:xfrm>
              <a:off x="13520943756" y="1767681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70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105285</xdr:colOff>
      <xdr:row>86</xdr:row>
      <xdr:rowOff>95414</xdr:rowOff>
    </xdr:from>
    <xdr:to>
      <xdr:col>6</xdr:col>
      <xdr:colOff>108576</xdr:colOff>
      <xdr:row>88</xdr:row>
      <xdr:rowOff>82254</xdr:rowOff>
    </xdr:to>
    <xdr:cxnSp macro="">
      <xdr:nvCxnSpPr>
        <xdr:cNvPr id="83" name="Straight Arrow Connector 82">
          <a:extLst>
            <a:ext uri="{FF2B5EF4-FFF2-40B4-BE49-F238E27FC236}">
              <a16:creationId xmlns:a16="http://schemas.microsoft.com/office/drawing/2014/main" id="{43A23004-9333-C6FE-D598-DD8B74CC957E}"/>
            </a:ext>
          </a:extLst>
        </xdr:cNvPr>
        <xdr:cNvCxnSpPr/>
      </xdr:nvCxnSpPr>
      <xdr:spPr>
        <a:xfrm flipH="1">
          <a:off x="13525319041" y="17743808"/>
          <a:ext cx="3291" cy="39481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450505</xdr:colOff>
      <xdr:row>86</xdr:row>
      <xdr:rowOff>162459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1A025635-2623-68F8-7F25-B528B409D4BE}"/>
                </a:ext>
              </a:extLst>
            </xdr:cNvPr>
            <xdr:cNvSpPr txBox="1"/>
          </xdr:nvSpPr>
          <xdr:spPr>
            <a:xfrm>
              <a:off x="13525177348" y="17810853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−10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1A025635-2623-68F8-7F25-B528B409D4BE}"/>
                </a:ext>
              </a:extLst>
            </xdr:cNvPr>
            <xdr:cNvSpPr txBox="1"/>
          </xdr:nvSpPr>
          <xdr:spPr>
            <a:xfrm>
              <a:off x="13525177348" y="17810853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−10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809132</xdr:colOff>
      <xdr:row>86</xdr:row>
      <xdr:rowOff>136138</xdr:rowOff>
    </xdr:from>
    <xdr:ext cx="625593" cy="1907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5AFE83DA-4BD4-8330-2384-47B09C99F4F9}"/>
                </a:ext>
              </a:extLst>
            </xdr:cNvPr>
            <xdr:cNvSpPr txBox="1"/>
          </xdr:nvSpPr>
          <xdr:spPr>
            <a:xfrm>
              <a:off x="13524818721" y="17784532"/>
              <a:ext cx="625593" cy="1907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פרמיה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5AFE83DA-4BD4-8330-2384-47B09C99F4F9}"/>
                </a:ext>
              </a:extLst>
            </xdr:cNvPr>
            <xdr:cNvSpPr txBox="1"/>
          </xdr:nvSpPr>
          <xdr:spPr>
            <a:xfrm>
              <a:off x="13524818721" y="17784532"/>
              <a:ext cx="625593" cy="1907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פרמיה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588985</xdr:colOff>
      <xdr:row>90</xdr:row>
      <xdr:rowOff>0</xdr:rowOff>
    </xdr:from>
    <xdr:to>
      <xdr:col>4</xdr:col>
      <xdr:colOff>21294</xdr:colOff>
      <xdr:row>92</xdr:row>
      <xdr:rowOff>49226</xdr:rowOff>
    </xdr:to>
    <xdr:sp macro="" textlink="">
      <xdr:nvSpPr>
        <xdr:cNvPr id="86" name="Rectangular Callout 85">
          <a:extLst>
            <a:ext uri="{FF2B5EF4-FFF2-40B4-BE49-F238E27FC236}">
              <a16:creationId xmlns:a16="http://schemas.microsoft.com/office/drawing/2014/main" id="{E87402DA-FD5F-DC46-8E2B-69F7B74359DB}"/>
            </a:ext>
          </a:extLst>
        </xdr:cNvPr>
        <xdr:cNvSpPr/>
      </xdr:nvSpPr>
      <xdr:spPr>
        <a:xfrm>
          <a:off x="13491520011" y="18332174"/>
          <a:ext cx="1107236" cy="454153"/>
        </a:xfrm>
        <a:prstGeom prst="wedgeRectCallout">
          <a:avLst>
            <a:gd name="adj1" fmla="val -100389"/>
            <a:gd name="adj2" fmla="val -5855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שישים</a:t>
          </a:r>
          <a:r>
            <a:rPr lang="he-IL" sz="1100" baseline="0"/>
            <a:t> וממשיכים שייקה</a:t>
          </a:r>
          <a:endParaRPr lang="en-US" sz="1100"/>
        </a:p>
      </xdr:txBody>
    </xdr:sp>
    <xdr:clientData/>
  </xdr:twoCellAnchor>
  <xdr:twoCellAnchor>
    <xdr:from>
      <xdr:col>2</xdr:col>
      <xdr:colOff>452168</xdr:colOff>
      <xdr:row>134</xdr:row>
      <xdr:rowOff>200527</xdr:rowOff>
    </xdr:from>
    <xdr:to>
      <xdr:col>2</xdr:col>
      <xdr:colOff>452168</xdr:colOff>
      <xdr:row>142</xdr:row>
      <xdr:rowOff>106161</xdr:rowOff>
    </xdr:to>
    <xdr:cxnSp macro="">
      <xdr:nvCxnSpPr>
        <xdr:cNvPr id="88" name="Straight Arrow Connector 87">
          <a:extLst>
            <a:ext uri="{FF2B5EF4-FFF2-40B4-BE49-F238E27FC236}">
              <a16:creationId xmlns:a16="http://schemas.microsoft.com/office/drawing/2014/main" id="{282A56D8-3D7C-953A-7B67-DD06943FDD66}"/>
            </a:ext>
          </a:extLst>
        </xdr:cNvPr>
        <xdr:cNvCxnSpPr/>
      </xdr:nvCxnSpPr>
      <xdr:spPr>
        <a:xfrm flipV="1">
          <a:off x="13526133033" y="27739474"/>
          <a:ext cx="0" cy="154130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546100</xdr:colOff>
      <xdr:row>140</xdr:row>
      <xdr:rowOff>3175</xdr:rowOff>
    </xdr:from>
    <xdr:to>
      <xdr:col>2</xdr:col>
      <xdr:colOff>577850</xdr:colOff>
      <xdr:row>140</xdr:row>
      <xdr:rowOff>6350</xdr:rowOff>
    </xdr:to>
    <xdr:cxnSp macro="">
      <xdr:nvCxnSpPr>
        <xdr:cNvPr id="89" name="Straight Arrow Connector 88">
          <a:extLst>
            <a:ext uri="{FF2B5EF4-FFF2-40B4-BE49-F238E27FC236}">
              <a16:creationId xmlns:a16="http://schemas.microsoft.com/office/drawing/2014/main" id="{CCEDF0C6-05BC-A50C-8CAE-71E89B99DA99}"/>
            </a:ext>
          </a:extLst>
        </xdr:cNvPr>
        <xdr:cNvCxnSpPr/>
      </xdr:nvCxnSpPr>
      <xdr:spPr>
        <a:xfrm flipV="1">
          <a:off x="13522788550" y="28603575"/>
          <a:ext cx="1682750" cy="31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184151</xdr:colOff>
      <xdr:row>141</xdr:row>
      <xdr:rowOff>52387</xdr:rowOff>
    </xdr:from>
    <xdr:ext cx="88594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2" name="TextBox 91">
              <a:extLst>
                <a:ext uri="{FF2B5EF4-FFF2-40B4-BE49-F238E27FC236}">
                  <a16:creationId xmlns:a16="http://schemas.microsoft.com/office/drawing/2014/main" id="{9459E8D9-1A79-196D-DAA8-8926DB161B9A}"/>
                </a:ext>
              </a:extLst>
            </xdr:cNvPr>
            <xdr:cNvSpPr txBox="1"/>
          </xdr:nvSpPr>
          <xdr:spPr>
            <a:xfrm>
              <a:off x="13522296306" y="28855987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2" name="TextBox 91">
              <a:extLst>
                <a:ext uri="{FF2B5EF4-FFF2-40B4-BE49-F238E27FC236}">
                  <a16:creationId xmlns:a16="http://schemas.microsoft.com/office/drawing/2014/main" id="{9459E8D9-1A79-196D-DAA8-8926DB161B9A}"/>
                </a:ext>
              </a:extLst>
            </xdr:cNvPr>
            <xdr:cNvSpPr txBox="1"/>
          </xdr:nvSpPr>
          <xdr:spPr>
            <a:xfrm>
              <a:off x="13522296306" y="28855987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−10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498475</xdr:colOff>
      <xdr:row>141</xdr:row>
      <xdr:rowOff>149225</xdr:rowOff>
    </xdr:from>
    <xdr:to>
      <xdr:col>2</xdr:col>
      <xdr:colOff>463550</xdr:colOff>
      <xdr:row>141</xdr:row>
      <xdr:rowOff>149225</xdr:rowOff>
    </xdr:to>
    <xdr:cxnSp macro="">
      <xdr:nvCxnSpPr>
        <xdr:cNvPr id="94" name="Straight Connector 93">
          <a:extLst>
            <a:ext uri="{FF2B5EF4-FFF2-40B4-BE49-F238E27FC236}">
              <a16:creationId xmlns:a16="http://schemas.microsoft.com/office/drawing/2014/main" id="{0368F554-0371-F0BC-F538-2557A32C60F6}"/>
            </a:ext>
          </a:extLst>
        </xdr:cNvPr>
        <xdr:cNvCxnSpPr/>
      </xdr:nvCxnSpPr>
      <xdr:spPr>
        <a:xfrm>
          <a:off x="13522902850" y="28952825"/>
          <a:ext cx="790575" cy="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</xdr:col>
      <xdr:colOff>98426</xdr:colOff>
      <xdr:row>140</xdr:row>
      <xdr:rowOff>17462</xdr:rowOff>
    </xdr:from>
    <xdr:ext cx="88594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4E47BF1B-9074-4380-0911-DD7AEC5FEEBE}"/>
                </a:ext>
              </a:extLst>
            </xdr:cNvPr>
            <xdr:cNvSpPr txBox="1"/>
          </xdr:nvSpPr>
          <xdr:spPr>
            <a:xfrm>
              <a:off x="13523207531" y="286178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4E47BF1B-9074-4380-0911-DD7AEC5FEEBE}"/>
                </a:ext>
              </a:extLst>
            </xdr:cNvPr>
            <xdr:cNvSpPr txBox="1"/>
          </xdr:nvSpPr>
          <xdr:spPr>
            <a:xfrm>
              <a:off x="13523207531" y="286178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501650</xdr:colOff>
      <xdr:row>136</xdr:row>
      <xdr:rowOff>190500</xdr:rowOff>
    </xdr:from>
    <xdr:to>
      <xdr:col>1</xdr:col>
      <xdr:colOff>501650</xdr:colOff>
      <xdr:row>141</xdr:row>
      <xdr:rowOff>155575</xdr:rowOff>
    </xdr:to>
    <xdr:cxnSp macro="">
      <xdr:nvCxnSpPr>
        <xdr:cNvPr id="96" name="Straight Connector 95">
          <a:extLst>
            <a:ext uri="{FF2B5EF4-FFF2-40B4-BE49-F238E27FC236}">
              <a16:creationId xmlns:a16="http://schemas.microsoft.com/office/drawing/2014/main" id="{3EA9E45F-957C-6DE2-7D23-9CA0A182FCE9}"/>
            </a:ext>
          </a:extLst>
        </xdr:cNvPr>
        <xdr:cNvCxnSpPr/>
      </xdr:nvCxnSpPr>
      <xdr:spPr>
        <a:xfrm flipV="1">
          <a:off x="13523690250" y="27978100"/>
          <a:ext cx="825500" cy="981075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488951</xdr:colOff>
      <xdr:row>140</xdr:row>
      <xdr:rowOff>11112</xdr:rowOff>
    </xdr:from>
    <xdr:ext cx="88594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C3511DB2-73A4-DB85-08E6-9AB214B6C912}"/>
                </a:ext>
              </a:extLst>
            </xdr:cNvPr>
            <xdr:cNvSpPr txBox="1"/>
          </xdr:nvSpPr>
          <xdr:spPr>
            <a:xfrm>
              <a:off x="13523642506" y="2861151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C3511DB2-73A4-DB85-08E6-9AB214B6C912}"/>
                </a:ext>
              </a:extLst>
            </xdr:cNvPr>
            <xdr:cNvSpPr txBox="1"/>
          </xdr:nvSpPr>
          <xdr:spPr>
            <a:xfrm>
              <a:off x="13523642506" y="2861151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139</xdr:row>
      <xdr:rowOff>119062</xdr:rowOff>
    </xdr:from>
    <xdr:ext cx="88594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E715CE7B-B187-F8A5-F6E0-F296557A9666}"/>
                </a:ext>
              </a:extLst>
            </xdr:cNvPr>
            <xdr:cNvSpPr txBox="1"/>
          </xdr:nvSpPr>
          <xdr:spPr>
            <a:xfrm>
              <a:off x="13524131457" y="285162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E715CE7B-B187-F8A5-F6E0-F296557A9666}"/>
                </a:ext>
              </a:extLst>
            </xdr:cNvPr>
            <xdr:cNvSpPr txBox="1"/>
          </xdr:nvSpPr>
          <xdr:spPr>
            <a:xfrm>
              <a:off x="13524131457" y="285162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90218</xdr:colOff>
      <xdr:row>135</xdr:row>
      <xdr:rowOff>137027</xdr:rowOff>
    </xdr:from>
    <xdr:to>
      <xdr:col>7</xdr:col>
      <xdr:colOff>90218</xdr:colOff>
      <xdr:row>143</xdr:row>
      <xdr:rowOff>42661</xdr:rowOff>
    </xdr:to>
    <xdr:cxnSp macro="">
      <xdr:nvCxnSpPr>
        <xdr:cNvPr id="103" name="Straight Arrow Connector 102">
          <a:extLst>
            <a:ext uri="{FF2B5EF4-FFF2-40B4-BE49-F238E27FC236}">
              <a16:creationId xmlns:a16="http://schemas.microsoft.com/office/drawing/2014/main" id="{3E5C3C53-22A3-20DF-0600-718BBB801E2C}"/>
            </a:ext>
          </a:extLst>
        </xdr:cNvPr>
        <xdr:cNvCxnSpPr/>
      </xdr:nvCxnSpPr>
      <xdr:spPr>
        <a:xfrm flipV="1">
          <a:off x="13519123282" y="27721427"/>
          <a:ext cx="0" cy="153123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184150</xdr:colOff>
      <xdr:row>140</xdr:row>
      <xdr:rowOff>142875</xdr:rowOff>
    </xdr:from>
    <xdr:to>
      <xdr:col>7</xdr:col>
      <xdr:colOff>215900</xdr:colOff>
      <xdr:row>140</xdr:row>
      <xdr:rowOff>146050</xdr:rowOff>
    </xdr:to>
    <xdr:cxnSp macro="">
      <xdr:nvCxnSpPr>
        <xdr:cNvPr id="104" name="Straight Arrow Connector 103">
          <a:extLst>
            <a:ext uri="{FF2B5EF4-FFF2-40B4-BE49-F238E27FC236}">
              <a16:creationId xmlns:a16="http://schemas.microsoft.com/office/drawing/2014/main" id="{C6EEBF2A-345E-0DD4-457A-396BE55E8CA9}"/>
            </a:ext>
          </a:extLst>
        </xdr:cNvPr>
        <xdr:cNvCxnSpPr/>
      </xdr:nvCxnSpPr>
      <xdr:spPr>
        <a:xfrm flipV="1">
          <a:off x="13518997600" y="28743275"/>
          <a:ext cx="1682750" cy="31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463550</xdr:colOff>
      <xdr:row>140</xdr:row>
      <xdr:rowOff>55562</xdr:rowOff>
    </xdr:from>
    <xdr:ext cx="88594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438CFDBA-283C-D5F7-9B80-6DA0A56237F5}"/>
                </a:ext>
              </a:extLst>
            </xdr:cNvPr>
            <xdr:cNvSpPr txBox="1"/>
          </xdr:nvSpPr>
          <xdr:spPr>
            <a:xfrm>
              <a:off x="13520340507" y="286559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438CFDBA-283C-D5F7-9B80-6DA0A56237F5}"/>
                </a:ext>
              </a:extLst>
            </xdr:cNvPr>
            <xdr:cNvSpPr txBox="1"/>
          </xdr:nvSpPr>
          <xdr:spPr>
            <a:xfrm>
              <a:off x="13520340507" y="286559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463550</xdr:colOff>
      <xdr:row>134</xdr:row>
      <xdr:rowOff>131762</xdr:rowOff>
    </xdr:from>
    <xdr:ext cx="88594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6" name="TextBox 105">
              <a:extLst>
                <a:ext uri="{FF2B5EF4-FFF2-40B4-BE49-F238E27FC236}">
                  <a16:creationId xmlns:a16="http://schemas.microsoft.com/office/drawing/2014/main" id="{78E73DF9-31E5-2237-6234-5DD30ED0BE59}"/>
                </a:ext>
              </a:extLst>
            </xdr:cNvPr>
            <xdr:cNvSpPr txBox="1"/>
          </xdr:nvSpPr>
          <xdr:spPr>
            <a:xfrm>
              <a:off x="13518689507" y="275129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6" name="TextBox 105">
              <a:extLst>
                <a:ext uri="{FF2B5EF4-FFF2-40B4-BE49-F238E27FC236}">
                  <a16:creationId xmlns:a16="http://schemas.microsoft.com/office/drawing/2014/main" id="{78E73DF9-31E5-2237-6234-5DD30ED0BE59}"/>
                </a:ext>
              </a:extLst>
            </xdr:cNvPr>
            <xdr:cNvSpPr txBox="1"/>
          </xdr:nvSpPr>
          <xdr:spPr>
            <a:xfrm>
              <a:off x="13518689507" y="275129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593726</xdr:colOff>
      <xdr:row>137</xdr:row>
      <xdr:rowOff>74612</xdr:rowOff>
    </xdr:from>
    <xdr:ext cx="88594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3CB96BCC-591B-6E5C-6D06-5E49805A6E7E}"/>
                </a:ext>
              </a:extLst>
            </xdr:cNvPr>
            <xdr:cNvSpPr txBox="1"/>
          </xdr:nvSpPr>
          <xdr:spPr>
            <a:xfrm>
              <a:off x="13518559331" y="2806541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3CB96BCC-591B-6E5C-6D06-5E49805A6E7E}"/>
                </a:ext>
              </a:extLst>
            </xdr:cNvPr>
            <xdr:cNvSpPr txBox="1"/>
          </xdr:nvSpPr>
          <xdr:spPr>
            <a:xfrm>
              <a:off x="13518559331" y="2806541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241300</xdr:colOff>
      <xdr:row>137</xdr:row>
      <xdr:rowOff>161925</xdr:rowOff>
    </xdr:from>
    <xdr:to>
      <xdr:col>7</xdr:col>
      <xdr:colOff>82550</xdr:colOff>
      <xdr:row>137</xdr:row>
      <xdr:rowOff>171450</xdr:rowOff>
    </xdr:to>
    <xdr:cxnSp macro="">
      <xdr:nvCxnSpPr>
        <xdr:cNvPr id="108" name="Straight Connector 107">
          <a:extLst>
            <a:ext uri="{FF2B5EF4-FFF2-40B4-BE49-F238E27FC236}">
              <a16:creationId xmlns:a16="http://schemas.microsoft.com/office/drawing/2014/main" id="{F7623B05-9F66-D1CC-D53A-980E442712D9}"/>
            </a:ext>
          </a:extLst>
        </xdr:cNvPr>
        <xdr:cNvCxnSpPr/>
      </xdr:nvCxnSpPr>
      <xdr:spPr>
        <a:xfrm flipH="1" flipV="1">
          <a:off x="13519130950" y="28152725"/>
          <a:ext cx="666750" cy="9525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631826</xdr:colOff>
      <xdr:row>140</xdr:row>
      <xdr:rowOff>182562</xdr:rowOff>
    </xdr:from>
    <xdr:ext cx="88594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AF5161EC-C259-C026-F3F4-E4A601FD2428}"/>
                </a:ext>
              </a:extLst>
            </xdr:cNvPr>
            <xdr:cNvSpPr txBox="1"/>
          </xdr:nvSpPr>
          <xdr:spPr>
            <a:xfrm>
              <a:off x="13519346731" y="287829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AF5161EC-C259-C026-F3F4-E4A601FD2428}"/>
                </a:ext>
              </a:extLst>
            </xdr:cNvPr>
            <xdr:cNvSpPr txBox="1"/>
          </xdr:nvSpPr>
          <xdr:spPr>
            <a:xfrm>
              <a:off x="13519346731" y="287829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130175</xdr:colOff>
      <xdr:row>137</xdr:row>
      <xdr:rowOff>168275</xdr:rowOff>
    </xdr:from>
    <xdr:to>
      <xdr:col>6</xdr:col>
      <xdr:colOff>250825</xdr:colOff>
      <xdr:row>152</xdr:row>
      <xdr:rowOff>63500</xdr:rowOff>
    </xdr:to>
    <xdr:cxnSp macro="">
      <xdr:nvCxnSpPr>
        <xdr:cNvPr id="114" name="Straight Connector 113">
          <a:extLst>
            <a:ext uri="{FF2B5EF4-FFF2-40B4-BE49-F238E27FC236}">
              <a16:creationId xmlns:a16="http://schemas.microsoft.com/office/drawing/2014/main" id="{C81A036C-0D10-D995-9E7A-4179C84279DD}"/>
            </a:ext>
          </a:extLst>
        </xdr:cNvPr>
        <xdr:cNvCxnSpPr/>
      </xdr:nvCxnSpPr>
      <xdr:spPr>
        <a:xfrm flipH="1" flipV="1">
          <a:off x="13519788175" y="28159075"/>
          <a:ext cx="2597150" cy="2968625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180976</xdr:colOff>
      <xdr:row>140</xdr:row>
      <xdr:rowOff>179387</xdr:rowOff>
    </xdr:from>
    <xdr:ext cx="88594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3266ADEA-5663-29BD-752A-797B93A7365B}"/>
                </a:ext>
              </a:extLst>
            </xdr:cNvPr>
            <xdr:cNvSpPr txBox="1"/>
          </xdr:nvSpPr>
          <xdr:spPr>
            <a:xfrm>
              <a:off x="13519797581" y="28779787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3266ADEA-5663-29BD-752A-797B93A7365B}"/>
                </a:ext>
              </a:extLst>
            </xdr:cNvPr>
            <xdr:cNvSpPr txBox="1"/>
          </xdr:nvSpPr>
          <xdr:spPr>
            <a:xfrm>
              <a:off x="13519797581" y="28779787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499127</xdr:colOff>
      <xdr:row>439</xdr:row>
      <xdr:rowOff>72096</xdr:rowOff>
    </xdr:from>
    <xdr:to>
      <xdr:col>7</xdr:col>
      <xdr:colOff>113136</xdr:colOff>
      <xdr:row>452</xdr:row>
      <xdr:rowOff>147741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B253C7D8-3832-3147-B77E-7A075F24414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</xdr:col>
      <xdr:colOff>197826</xdr:colOff>
      <xdr:row>469</xdr:row>
      <xdr:rowOff>169496</xdr:rowOff>
    </xdr:from>
    <xdr:to>
      <xdr:col>8</xdr:col>
      <xdr:colOff>642326</xdr:colOff>
      <xdr:row>483</xdr:row>
      <xdr:rowOff>40543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98983E5C-2F49-B74C-95DA-FBE0F3522DC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130854</xdr:colOff>
      <xdr:row>510</xdr:row>
      <xdr:rowOff>162441</xdr:rowOff>
    </xdr:from>
    <xdr:to>
      <xdr:col>8</xdr:col>
      <xdr:colOff>529166</xdr:colOff>
      <xdr:row>518</xdr:row>
      <xdr:rowOff>190500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CB03C692-796C-744F-BA31-80A5F141EE9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</xdr:col>
      <xdr:colOff>768350</xdr:colOff>
      <xdr:row>168</xdr:row>
      <xdr:rowOff>127000</xdr:rowOff>
    </xdr:from>
    <xdr:to>
      <xdr:col>8</xdr:col>
      <xdr:colOff>387350</xdr:colOff>
      <xdr:row>182</xdr:row>
      <xdr:rowOff>16933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68B91341-03FC-F647-9D73-EEDC0F3C01F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3</xdr:col>
      <xdr:colOff>40217</xdr:colOff>
      <xdr:row>190</xdr:row>
      <xdr:rowOff>88900</xdr:rowOff>
    </xdr:from>
    <xdr:to>
      <xdr:col>8</xdr:col>
      <xdr:colOff>484717</xdr:colOff>
      <xdr:row>203</xdr:row>
      <xdr:rowOff>198967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A72B5ABB-6BF6-1D43-AC5C-4766BD89DD5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3</xdr:col>
      <xdr:colOff>326500</xdr:colOff>
      <xdr:row>345</xdr:row>
      <xdr:rowOff>173400</xdr:rowOff>
    </xdr:from>
    <xdr:to>
      <xdr:col>8</xdr:col>
      <xdr:colOff>773500</xdr:colOff>
      <xdr:row>359</xdr:row>
      <xdr:rowOff>46600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40F710CF-5168-D040-B113-84A813BC2EA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0</xdr:col>
      <xdr:colOff>485705</xdr:colOff>
      <xdr:row>119</xdr:row>
      <xdr:rowOff>7963</xdr:rowOff>
    </xdr:from>
    <xdr:to>
      <xdr:col>1</xdr:col>
      <xdr:colOff>366269</xdr:colOff>
      <xdr:row>122</xdr:row>
      <xdr:rowOff>119435</xdr:rowOff>
    </xdr:to>
    <xdr:sp macro="" textlink="">
      <xdr:nvSpPr>
        <xdr:cNvPr id="11" name="Smiley Face 10">
          <a:extLst>
            <a:ext uri="{FF2B5EF4-FFF2-40B4-BE49-F238E27FC236}">
              <a16:creationId xmlns:a16="http://schemas.microsoft.com/office/drawing/2014/main" id="{ACEE590B-A455-852D-79C1-A6376B6019E5}"/>
            </a:ext>
          </a:extLst>
        </xdr:cNvPr>
        <xdr:cNvSpPr/>
      </xdr:nvSpPr>
      <xdr:spPr>
        <a:xfrm>
          <a:off x="13500971881" y="24376834"/>
          <a:ext cx="704671" cy="720595"/>
        </a:xfrm>
        <a:prstGeom prst="smileyFace">
          <a:avLst/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7963</xdr:colOff>
      <xdr:row>119</xdr:row>
      <xdr:rowOff>179155</xdr:rowOff>
    </xdr:from>
    <xdr:to>
      <xdr:col>1</xdr:col>
      <xdr:colOff>282665</xdr:colOff>
      <xdr:row>120</xdr:row>
      <xdr:rowOff>143324</xdr:rowOff>
    </xdr:to>
    <xdr:sp macro="" textlink="">
      <xdr:nvSpPr>
        <xdr:cNvPr id="12" name="Frame 11">
          <a:extLst>
            <a:ext uri="{FF2B5EF4-FFF2-40B4-BE49-F238E27FC236}">
              <a16:creationId xmlns:a16="http://schemas.microsoft.com/office/drawing/2014/main" id="{E382BC92-0B4B-FAFA-CA9A-74DBB945ED2D}"/>
            </a:ext>
          </a:extLst>
        </xdr:cNvPr>
        <xdr:cNvSpPr/>
      </xdr:nvSpPr>
      <xdr:spPr>
        <a:xfrm>
          <a:off x="13501055485" y="24548026"/>
          <a:ext cx="274702" cy="167210"/>
        </a:xfrm>
        <a:prstGeom prst="frame">
          <a:avLst>
            <a:gd name="adj1" fmla="val 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0</xdr:col>
      <xdr:colOff>557367</xdr:colOff>
      <xdr:row>119</xdr:row>
      <xdr:rowOff>175173</xdr:rowOff>
    </xdr:from>
    <xdr:to>
      <xdr:col>1</xdr:col>
      <xdr:colOff>7962</xdr:colOff>
      <xdr:row>120</xdr:row>
      <xdr:rowOff>139342</xdr:rowOff>
    </xdr:to>
    <xdr:sp macro="" textlink="">
      <xdr:nvSpPr>
        <xdr:cNvPr id="13" name="Frame 12">
          <a:extLst>
            <a:ext uri="{FF2B5EF4-FFF2-40B4-BE49-F238E27FC236}">
              <a16:creationId xmlns:a16="http://schemas.microsoft.com/office/drawing/2014/main" id="{F3679EA2-D8C9-25A0-3A20-FEA13E4AB51F}"/>
            </a:ext>
          </a:extLst>
        </xdr:cNvPr>
        <xdr:cNvSpPr/>
      </xdr:nvSpPr>
      <xdr:spPr>
        <a:xfrm>
          <a:off x="13501330188" y="24544044"/>
          <a:ext cx="274702" cy="167210"/>
        </a:xfrm>
        <a:prstGeom prst="frame">
          <a:avLst>
            <a:gd name="adj1" fmla="val 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0</xdr:col>
      <xdr:colOff>573274</xdr:colOff>
      <xdr:row>118</xdr:row>
      <xdr:rowOff>131379</xdr:rowOff>
    </xdr:from>
    <xdr:to>
      <xdr:col>1</xdr:col>
      <xdr:colOff>242852</xdr:colOff>
      <xdr:row>119</xdr:row>
      <xdr:rowOff>104845</xdr:rowOff>
    </xdr:to>
    <xdr:sp macro="" textlink="">
      <xdr:nvSpPr>
        <xdr:cNvPr id="14" name="Freeform 13">
          <a:extLst>
            <a:ext uri="{FF2B5EF4-FFF2-40B4-BE49-F238E27FC236}">
              <a16:creationId xmlns:a16="http://schemas.microsoft.com/office/drawing/2014/main" id="{F71CCCF5-D0EA-8E82-2C08-DF28A56B46B5}"/>
            </a:ext>
          </a:extLst>
        </xdr:cNvPr>
        <xdr:cNvSpPr/>
      </xdr:nvSpPr>
      <xdr:spPr>
        <a:xfrm>
          <a:off x="13501095298" y="24297210"/>
          <a:ext cx="493685" cy="176506"/>
        </a:xfrm>
        <a:custGeom>
          <a:avLst/>
          <a:gdLst>
            <a:gd name="connsiteX0" fmla="*/ 0 w 493685"/>
            <a:gd name="connsiteY0" fmla="*/ 79624 h 176506"/>
            <a:gd name="connsiteX1" fmla="*/ 3981 w 493685"/>
            <a:gd name="connsiteY1" fmla="*/ 111473 h 176506"/>
            <a:gd name="connsiteX2" fmla="*/ 15925 w 493685"/>
            <a:gd name="connsiteY2" fmla="*/ 103511 h 176506"/>
            <a:gd name="connsiteX3" fmla="*/ 43793 w 493685"/>
            <a:gd name="connsiteY3" fmla="*/ 75643 h 176506"/>
            <a:gd name="connsiteX4" fmla="*/ 59718 w 493685"/>
            <a:gd name="connsiteY4" fmla="*/ 59718 h 176506"/>
            <a:gd name="connsiteX5" fmla="*/ 75642 w 493685"/>
            <a:gd name="connsiteY5" fmla="*/ 43793 h 176506"/>
            <a:gd name="connsiteX6" fmla="*/ 83605 w 493685"/>
            <a:gd name="connsiteY6" fmla="*/ 35831 h 176506"/>
            <a:gd name="connsiteX7" fmla="*/ 87586 w 493685"/>
            <a:gd name="connsiteY7" fmla="*/ 51756 h 176506"/>
            <a:gd name="connsiteX8" fmla="*/ 75642 w 493685"/>
            <a:gd name="connsiteY8" fmla="*/ 71661 h 176506"/>
            <a:gd name="connsiteX9" fmla="*/ 51755 w 493685"/>
            <a:gd name="connsiteY9" fmla="*/ 103511 h 176506"/>
            <a:gd name="connsiteX10" fmla="*/ 31849 w 493685"/>
            <a:gd name="connsiteY10" fmla="*/ 123417 h 176506"/>
            <a:gd name="connsiteX11" fmla="*/ 43793 w 493685"/>
            <a:gd name="connsiteY11" fmla="*/ 127398 h 176506"/>
            <a:gd name="connsiteX12" fmla="*/ 75642 w 493685"/>
            <a:gd name="connsiteY12" fmla="*/ 107492 h 176506"/>
            <a:gd name="connsiteX13" fmla="*/ 107492 w 493685"/>
            <a:gd name="connsiteY13" fmla="*/ 87586 h 176506"/>
            <a:gd name="connsiteX14" fmla="*/ 83605 w 493685"/>
            <a:gd name="connsiteY14" fmla="*/ 115455 h 176506"/>
            <a:gd name="connsiteX15" fmla="*/ 71661 w 493685"/>
            <a:gd name="connsiteY15" fmla="*/ 131379 h 176506"/>
            <a:gd name="connsiteX16" fmla="*/ 55736 w 493685"/>
            <a:gd name="connsiteY16" fmla="*/ 147304 h 176506"/>
            <a:gd name="connsiteX17" fmla="*/ 43793 w 493685"/>
            <a:gd name="connsiteY17" fmla="*/ 163229 h 176506"/>
            <a:gd name="connsiteX18" fmla="*/ 31849 w 493685"/>
            <a:gd name="connsiteY18" fmla="*/ 175172 h 176506"/>
            <a:gd name="connsiteX19" fmla="*/ 43793 w 493685"/>
            <a:gd name="connsiteY19" fmla="*/ 167210 h 176506"/>
            <a:gd name="connsiteX20" fmla="*/ 67680 w 493685"/>
            <a:gd name="connsiteY20" fmla="*/ 139342 h 176506"/>
            <a:gd name="connsiteX21" fmla="*/ 151285 w 493685"/>
            <a:gd name="connsiteY21" fmla="*/ 59718 h 176506"/>
            <a:gd name="connsiteX22" fmla="*/ 195078 w 493685"/>
            <a:gd name="connsiteY22" fmla="*/ 31850 h 176506"/>
            <a:gd name="connsiteX23" fmla="*/ 207022 w 493685"/>
            <a:gd name="connsiteY23" fmla="*/ 35831 h 176506"/>
            <a:gd name="connsiteX24" fmla="*/ 203041 w 493685"/>
            <a:gd name="connsiteY24" fmla="*/ 51756 h 176506"/>
            <a:gd name="connsiteX25" fmla="*/ 183135 w 493685"/>
            <a:gd name="connsiteY25" fmla="*/ 67680 h 176506"/>
            <a:gd name="connsiteX26" fmla="*/ 175172 w 493685"/>
            <a:gd name="connsiteY26" fmla="*/ 75643 h 176506"/>
            <a:gd name="connsiteX27" fmla="*/ 163229 w 493685"/>
            <a:gd name="connsiteY27" fmla="*/ 79624 h 176506"/>
            <a:gd name="connsiteX28" fmla="*/ 179153 w 493685"/>
            <a:gd name="connsiteY28" fmla="*/ 71661 h 176506"/>
            <a:gd name="connsiteX29" fmla="*/ 191097 w 493685"/>
            <a:gd name="connsiteY29" fmla="*/ 63699 h 176506"/>
            <a:gd name="connsiteX30" fmla="*/ 218965 w 493685"/>
            <a:gd name="connsiteY30" fmla="*/ 47774 h 176506"/>
            <a:gd name="connsiteX31" fmla="*/ 211003 w 493685"/>
            <a:gd name="connsiteY31" fmla="*/ 63699 h 176506"/>
            <a:gd name="connsiteX32" fmla="*/ 183135 w 493685"/>
            <a:gd name="connsiteY32" fmla="*/ 95549 h 176506"/>
            <a:gd name="connsiteX33" fmla="*/ 171191 w 493685"/>
            <a:gd name="connsiteY33" fmla="*/ 103511 h 176506"/>
            <a:gd name="connsiteX34" fmla="*/ 155266 w 493685"/>
            <a:gd name="connsiteY34" fmla="*/ 107492 h 176506"/>
            <a:gd name="connsiteX35" fmla="*/ 159247 w 493685"/>
            <a:gd name="connsiteY35" fmla="*/ 63699 h 176506"/>
            <a:gd name="connsiteX36" fmla="*/ 203041 w 493685"/>
            <a:gd name="connsiteY36" fmla="*/ 35831 h 176506"/>
            <a:gd name="connsiteX37" fmla="*/ 254796 w 493685"/>
            <a:gd name="connsiteY37" fmla="*/ 63699 h 176506"/>
            <a:gd name="connsiteX38" fmla="*/ 258777 w 493685"/>
            <a:gd name="connsiteY38" fmla="*/ 83605 h 176506"/>
            <a:gd name="connsiteX39" fmla="*/ 238871 w 493685"/>
            <a:gd name="connsiteY39" fmla="*/ 119436 h 176506"/>
            <a:gd name="connsiteX40" fmla="*/ 222947 w 493685"/>
            <a:gd name="connsiteY40" fmla="*/ 115455 h 176506"/>
            <a:gd name="connsiteX41" fmla="*/ 242852 w 493685"/>
            <a:gd name="connsiteY41" fmla="*/ 59718 h 176506"/>
            <a:gd name="connsiteX42" fmla="*/ 254796 w 493685"/>
            <a:gd name="connsiteY42" fmla="*/ 55737 h 176506"/>
            <a:gd name="connsiteX43" fmla="*/ 266740 w 493685"/>
            <a:gd name="connsiteY43" fmla="*/ 59718 h 176506"/>
            <a:gd name="connsiteX44" fmla="*/ 270721 w 493685"/>
            <a:gd name="connsiteY44" fmla="*/ 71661 h 176506"/>
            <a:gd name="connsiteX45" fmla="*/ 254796 w 493685"/>
            <a:gd name="connsiteY45" fmla="*/ 127398 h 176506"/>
            <a:gd name="connsiteX46" fmla="*/ 242852 w 493685"/>
            <a:gd name="connsiteY46" fmla="*/ 123417 h 176506"/>
            <a:gd name="connsiteX47" fmla="*/ 246834 w 493685"/>
            <a:gd name="connsiteY47" fmla="*/ 75643 h 176506"/>
            <a:gd name="connsiteX48" fmla="*/ 262758 w 493685"/>
            <a:gd name="connsiteY48" fmla="*/ 59718 h 176506"/>
            <a:gd name="connsiteX49" fmla="*/ 310533 w 493685"/>
            <a:gd name="connsiteY49" fmla="*/ 43793 h 176506"/>
            <a:gd name="connsiteX50" fmla="*/ 354326 w 493685"/>
            <a:gd name="connsiteY50" fmla="*/ 55737 h 176506"/>
            <a:gd name="connsiteX51" fmla="*/ 390157 w 493685"/>
            <a:gd name="connsiteY51" fmla="*/ 87586 h 176506"/>
            <a:gd name="connsiteX52" fmla="*/ 398119 w 493685"/>
            <a:gd name="connsiteY52" fmla="*/ 103511 h 176506"/>
            <a:gd name="connsiteX53" fmla="*/ 402100 w 493685"/>
            <a:gd name="connsiteY53" fmla="*/ 119436 h 176506"/>
            <a:gd name="connsiteX54" fmla="*/ 394138 w 493685"/>
            <a:gd name="connsiteY54" fmla="*/ 99530 h 176506"/>
            <a:gd name="connsiteX55" fmla="*/ 398119 w 493685"/>
            <a:gd name="connsiteY55" fmla="*/ 47774 h 176506"/>
            <a:gd name="connsiteX56" fmla="*/ 402100 w 493685"/>
            <a:gd name="connsiteY56" fmla="*/ 59718 h 176506"/>
            <a:gd name="connsiteX57" fmla="*/ 398119 w 493685"/>
            <a:gd name="connsiteY57" fmla="*/ 95549 h 176506"/>
            <a:gd name="connsiteX58" fmla="*/ 390157 w 493685"/>
            <a:gd name="connsiteY58" fmla="*/ 107492 h 176506"/>
            <a:gd name="connsiteX59" fmla="*/ 366269 w 493685"/>
            <a:gd name="connsiteY59" fmla="*/ 119436 h 176506"/>
            <a:gd name="connsiteX60" fmla="*/ 370251 w 493685"/>
            <a:gd name="connsiteY60" fmla="*/ 47774 h 176506"/>
            <a:gd name="connsiteX61" fmla="*/ 394138 w 493685"/>
            <a:gd name="connsiteY61" fmla="*/ 35831 h 176506"/>
            <a:gd name="connsiteX62" fmla="*/ 406081 w 493685"/>
            <a:gd name="connsiteY62" fmla="*/ 39812 h 176506"/>
            <a:gd name="connsiteX63" fmla="*/ 418025 w 493685"/>
            <a:gd name="connsiteY63" fmla="*/ 67680 h 176506"/>
            <a:gd name="connsiteX64" fmla="*/ 429968 w 493685"/>
            <a:gd name="connsiteY64" fmla="*/ 23887 h 176506"/>
            <a:gd name="connsiteX65" fmla="*/ 453856 w 493685"/>
            <a:gd name="connsiteY65" fmla="*/ 0 h 176506"/>
            <a:gd name="connsiteX66" fmla="*/ 465799 w 493685"/>
            <a:gd name="connsiteY66" fmla="*/ 15925 h 176506"/>
            <a:gd name="connsiteX67" fmla="*/ 449874 w 493685"/>
            <a:gd name="connsiteY67" fmla="*/ 75643 h 176506"/>
            <a:gd name="connsiteX68" fmla="*/ 437931 w 493685"/>
            <a:gd name="connsiteY68" fmla="*/ 71661 h 176506"/>
            <a:gd name="connsiteX69" fmla="*/ 457837 w 493685"/>
            <a:gd name="connsiteY69" fmla="*/ 15925 h 176506"/>
            <a:gd name="connsiteX70" fmla="*/ 473762 w 493685"/>
            <a:gd name="connsiteY70" fmla="*/ 19906 h 176506"/>
            <a:gd name="connsiteX71" fmla="*/ 477743 w 493685"/>
            <a:gd name="connsiteY71" fmla="*/ 31850 h 176506"/>
            <a:gd name="connsiteX72" fmla="*/ 481724 w 493685"/>
            <a:gd name="connsiteY72" fmla="*/ 47774 h 176506"/>
            <a:gd name="connsiteX73" fmla="*/ 481724 w 493685"/>
            <a:gd name="connsiteY73" fmla="*/ 63699 h 176506"/>
            <a:gd name="connsiteX74" fmla="*/ 489686 w 493685"/>
            <a:gd name="connsiteY74" fmla="*/ 51756 h 176506"/>
            <a:gd name="connsiteX75" fmla="*/ 485705 w 493685"/>
            <a:gd name="connsiteY75" fmla="*/ 99530 h 176506"/>
            <a:gd name="connsiteX76" fmla="*/ 465799 w 493685"/>
            <a:gd name="connsiteY76" fmla="*/ 119436 h 176506"/>
            <a:gd name="connsiteX77" fmla="*/ 449874 w 493685"/>
            <a:gd name="connsiteY77" fmla="*/ 111473 h 176506"/>
            <a:gd name="connsiteX78" fmla="*/ 453856 w 493685"/>
            <a:gd name="connsiteY78" fmla="*/ 99530 h 176506"/>
            <a:gd name="connsiteX79" fmla="*/ 465799 w 493685"/>
            <a:gd name="connsiteY79" fmla="*/ 107492 h 176506"/>
            <a:gd name="connsiteX80" fmla="*/ 469780 w 493685"/>
            <a:gd name="connsiteY80" fmla="*/ 119436 h 176506"/>
            <a:gd name="connsiteX81" fmla="*/ 453856 w 493685"/>
            <a:gd name="connsiteY81" fmla="*/ 143323 h 176506"/>
            <a:gd name="connsiteX82" fmla="*/ 425987 w 493685"/>
            <a:gd name="connsiteY82" fmla="*/ 135361 h 176506"/>
            <a:gd name="connsiteX83" fmla="*/ 406081 w 493685"/>
            <a:gd name="connsiteY83" fmla="*/ 115455 h 176506"/>
            <a:gd name="connsiteX84" fmla="*/ 402100 w 493685"/>
            <a:gd name="connsiteY84" fmla="*/ 147304 h 176506"/>
            <a:gd name="connsiteX85" fmla="*/ 342382 w 493685"/>
            <a:gd name="connsiteY85" fmla="*/ 155266 h 176506"/>
            <a:gd name="connsiteX86" fmla="*/ 330439 w 493685"/>
            <a:gd name="connsiteY86" fmla="*/ 143323 h 176506"/>
            <a:gd name="connsiteX87" fmla="*/ 322476 w 493685"/>
            <a:gd name="connsiteY87" fmla="*/ 127398 h 176506"/>
            <a:gd name="connsiteX88" fmla="*/ 318495 w 493685"/>
            <a:gd name="connsiteY88" fmla="*/ 143323 h 176506"/>
            <a:gd name="connsiteX89" fmla="*/ 306552 w 493685"/>
            <a:gd name="connsiteY89" fmla="*/ 155266 h 176506"/>
            <a:gd name="connsiteX90" fmla="*/ 242852 w 493685"/>
            <a:gd name="connsiteY90" fmla="*/ 171191 h 176506"/>
            <a:gd name="connsiteX91" fmla="*/ 207022 w 493685"/>
            <a:gd name="connsiteY91" fmla="*/ 167210 h 176506"/>
            <a:gd name="connsiteX92" fmla="*/ 139341 w 493685"/>
            <a:gd name="connsiteY92" fmla="*/ 131379 h 176506"/>
            <a:gd name="connsiteX93" fmla="*/ 123417 w 493685"/>
            <a:gd name="connsiteY93" fmla="*/ 111473 h 176506"/>
            <a:gd name="connsiteX94" fmla="*/ 111473 w 493685"/>
            <a:gd name="connsiteY94" fmla="*/ 99530 h 176506"/>
            <a:gd name="connsiteX95" fmla="*/ 123417 w 493685"/>
            <a:gd name="connsiteY95" fmla="*/ 119436 h 176506"/>
            <a:gd name="connsiteX96" fmla="*/ 119436 w 493685"/>
            <a:gd name="connsiteY96" fmla="*/ 155266 h 176506"/>
            <a:gd name="connsiteX97" fmla="*/ 71661 w 493685"/>
            <a:gd name="connsiteY97" fmla="*/ 135361 h 176506"/>
            <a:gd name="connsiteX98" fmla="*/ 67680 w 493685"/>
            <a:gd name="connsiteY98" fmla="*/ 123417 h 176506"/>
            <a:gd name="connsiteX99" fmla="*/ 71661 w 493685"/>
            <a:gd name="connsiteY99" fmla="*/ 111473 h 176506"/>
            <a:gd name="connsiteX100" fmla="*/ 83605 w 493685"/>
            <a:gd name="connsiteY100" fmla="*/ 143323 h 176506"/>
            <a:gd name="connsiteX101" fmla="*/ 79624 w 493685"/>
            <a:gd name="connsiteY101" fmla="*/ 159248 h 176506"/>
            <a:gd name="connsiteX102" fmla="*/ 67680 w 493685"/>
            <a:gd name="connsiteY102" fmla="*/ 155266 h 176506"/>
            <a:gd name="connsiteX103" fmla="*/ 51755 w 493685"/>
            <a:gd name="connsiteY103" fmla="*/ 143323 h 176506"/>
            <a:gd name="connsiteX104" fmla="*/ 63699 w 493685"/>
            <a:gd name="connsiteY104" fmla="*/ 139342 h 17650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  <a:cxn ang="0">
              <a:pos x="connsiteX103" y="connsiteY103"/>
            </a:cxn>
            <a:cxn ang="0">
              <a:pos x="connsiteX104" y="connsiteY104"/>
            </a:cxn>
          </a:cxnLst>
          <a:rect l="l" t="t" r="r" b="b"/>
          <a:pathLst>
            <a:path w="493685" h="176506">
              <a:moveTo>
                <a:pt x="0" y="79624"/>
              </a:moveTo>
              <a:cubicBezTo>
                <a:pt x="1327" y="90240"/>
                <a:pt x="-1954" y="102571"/>
                <a:pt x="3981" y="111473"/>
              </a:cubicBezTo>
              <a:cubicBezTo>
                <a:pt x="6635" y="115454"/>
                <a:pt x="12368" y="106712"/>
                <a:pt x="15925" y="103511"/>
              </a:cubicBezTo>
              <a:cubicBezTo>
                <a:pt x="25690" y="94723"/>
                <a:pt x="34504" y="84932"/>
                <a:pt x="43793" y="75643"/>
              </a:cubicBezTo>
              <a:lnTo>
                <a:pt x="59718" y="59718"/>
              </a:lnTo>
              <a:lnTo>
                <a:pt x="75642" y="43793"/>
              </a:lnTo>
              <a:lnTo>
                <a:pt x="83605" y="35831"/>
              </a:lnTo>
              <a:cubicBezTo>
                <a:pt x="84932" y="41139"/>
                <a:pt x="88773" y="46415"/>
                <a:pt x="87586" y="51756"/>
              </a:cubicBezTo>
              <a:cubicBezTo>
                <a:pt x="85907" y="59310"/>
                <a:pt x="80047" y="65299"/>
                <a:pt x="75642" y="71661"/>
              </a:cubicBezTo>
              <a:cubicBezTo>
                <a:pt x="68088" y="82572"/>
                <a:pt x="61139" y="94127"/>
                <a:pt x="51755" y="103511"/>
              </a:cubicBezTo>
              <a:lnTo>
                <a:pt x="31849" y="123417"/>
              </a:lnTo>
              <a:cubicBezTo>
                <a:pt x="35830" y="124744"/>
                <a:pt x="39639" y="127991"/>
                <a:pt x="43793" y="127398"/>
              </a:cubicBezTo>
              <a:cubicBezTo>
                <a:pt x="54257" y="125903"/>
                <a:pt x="67710" y="112449"/>
                <a:pt x="75642" y="107492"/>
              </a:cubicBezTo>
              <a:cubicBezTo>
                <a:pt x="119369" y="80162"/>
                <a:pt x="62371" y="121428"/>
                <a:pt x="107492" y="87586"/>
              </a:cubicBezTo>
              <a:cubicBezTo>
                <a:pt x="91942" y="118688"/>
                <a:pt x="109444" y="89617"/>
                <a:pt x="83605" y="115455"/>
              </a:cubicBezTo>
              <a:cubicBezTo>
                <a:pt x="78913" y="120147"/>
                <a:pt x="76030" y="126386"/>
                <a:pt x="71661" y="131379"/>
              </a:cubicBezTo>
              <a:cubicBezTo>
                <a:pt x="66717" y="137029"/>
                <a:pt x="60679" y="141654"/>
                <a:pt x="55736" y="147304"/>
              </a:cubicBezTo>
              <a:cubicBezTo>
                <a:pt x="51367" y="152298"/>
                <a:pt x="48111" y="158191"/>
                <a:pt x="43793" y="163229"/>
              </a:cubicBezTo>
              <a:cubicBezTo>
                <a:pt x="40129" y="167504"/>
                <a:pt x="31849" y="169542"/>
                <a:pt x="31849" y="175172"/>
              </a:cubicBezTo>
              <a:cubicBezTo>
                <a:pt x="31849" y="179957"/>
                <a:pt x="40410" y="170593"/>
                <a:pt x="43793" y="167210"/>
              </a:cubicBezTo>
              <a:cubicBezTo>
                <a:pt x="52444" y="158559"/>
                <a:pt x="59029" y="147993"/>
                <a:pt x="67680" y="139342"/>
              </a:cubicBezTo>
              <a:cubicBezTo>
                <a:pt x="94893" y="112129"/>
                <a:pt x="117871" y="78812"/>
                <a:pt x="151285" y="59718"/>
              </a:cubicBezTo>
              <a:cubicBezTo>
                <a:pt x="184914" y="40501"/>
                <a:pt x="170594" y="50212"/>
                <a:pt x="195078" y="31850"/>
              </a:cubicBezTo>
              <a:cubicBezTo>
                <a:pt x="199059" y="33177"/>
                <a:pt x="205463" y="31935"/>
                <a:pt x="207022" y="35831"/>
              </a:cubicBezTo>
              <a:cubicBezTo>
                <a:pt x="209054" y="40911"/>
                <a:pt x="205488" y="46862"/>
                <a:pt x="203041" y="51756"/>
              </a:cubicBezTo>
              <a:cubicBezTo>
                <a:pt x="199838" y="58163"/>
                <a:pt x="187821" y="63931"/>
                <a:pt x="183135" y="67680"/>
              </a:cubicBezTo>
              <a:cubicBezTo>
                <a:pt x="180204" y="70025"/>
                <a:pt x="178391" y="73712"/>
                <a:pt x="175172" y="75643"/>
              </a:cubicBezTo>
              <a:cubicBezTo>
                <a:pt x="171574" y="77802"/>
                <a:pt x="160262" y="82592"/>
                <a:pt x="163229" y="79624"/>
              </a:cubicBezTo>
              <a:cubicBezTo>
                <a:pt x="167425" y="75427"/>
                <a:pt x="174000" y="74605"/>
                <a:pt x="179153" y="71661"/>
              </a:cubicBezTo>
              <a:cubicBezTo>
                <a:pt x="183307" y="69287"/>
                <a:pt x="187203" y="66480"/>
                <a:pt x="191097" y="63699"/>
              </a:cubicBezTo>
              <a:cubicBezTo>
                <a:pt x="212188" y="48635"/>
                <a:pt x="199584" y="54236"/>
                <a:pt x="218965" y="47774"/>
              </a:cubicBezTo>
              <a:cubicBezTo>
                <a:pt x="216311" y="53082"/>
                <a:pt x="214148" y="58666"/>
                <a:pt x="211003" y="63699"/>
              </a:cubicBezTo>
              <a:cubicBezTo>
                <a:pt x="203966" y="74958"/>
                <a:pt x="193104" y="87004"/>
                <a:pt x="183135" y="95549"/>
              </a:cubicBezTo>
              <a:cubicBezTo>
                <a:pt x="179502" y="98663"/>
                <a:pt x="175589" y="101626"/>
                <a:pt x="171191" y="103511"/>
              </a:cubicBezTo>
              <a:cubicBezTo>
                <a:pt x="166162" y="105666"/>
                <a:pt x="160574" y="106165"/>
                <a:pt x="155266" y="107492"/>
              </a:cubicBezTo>
              <a:cubicBezTo>
                <a:pt x="156593" y="92894"/>
                <a:pt x="153666" y="77253"/>
                <a:pt x="159247" y="63699"/>
              </a:cubicBezTo>
              <a:cubicBezTo>
                <a:pt x="169540" y="38703"/>
                <a:pt x="183138" y="39811"/>
                <a:pt x="203041" y="35831"/>
              </a:cubicBezTo>
              <a:cubicBezTo>
                <a:pt x="238792" y="45581"/>
                <a:pt x="245468" y="35713"/>
                <a:pt x="254796" y="63699"/>
              </a:cubicBezTo>
              <a:cubicBezTo>
                <a:pt x="256936" y="70119"/>
                <a:pt x="257450" y="76970"/>
                <a:pt x="258777" y="83605"/>
              </a:cubicBezTo>
              <a:cubicBezTo>
                <a:pt x="256054" y="102668"/>
                <a:pt x="261862" y="116561"/>
                <a:pt x="238871" y="119436"/>
              </a:cubicBezTo>
              <a:cubicBezTo>
                <a:pt x="233442" y="120115"/>
                <a:pt x="228255" y="116782"/>
                <a:pt x="222947" y="115455"/>
              </a:cubicBezTo>
              <a:cubicBezTo>
                <a:pt x="229101" y="78531"/>
                <a:pt x="218245" y="72021"/>
                <a:pt x="242852" y="59718"/>
              </a:cubicBezTo>
              <a:cubicBezTo>
                <a:pt x="246606" y="57841"/>
                <a:pt x="250815" y="57064"/>
                <a:pt x="254796" y="55737"/>
              </a:cubicBezTo>
              <a:cubicBezTo>
                <a:pt x="258777" y="57064"/>
                <a:pt x="263772" y="56751"/>
                <a:pt x="266740" y="59718"/>
              </a:cubicBezTo>
              <a:cubicBezTo>
                <a:pt x="269707" y="62685"/>
                <a:pt x="270721" y="67465"/>
                <a:pt x="270721" y="71661"/>
              </a:cubicBezTo>
              <a:cubicBezTo>
                <a:pt x="270721" y="126167"/>
                <a:pt x="282112" y="118294"/>
                <a:pt x="254796" y="127398"/>
              </a:cubicBezTo>
              <a:cubicBezTo>
                <a:pt x="250815" y="126071"/>
                <a:pt x="245819" y="126384"/>
                <a:pt x="242852" y="123417"/>
              </a:cubicBezTo>
              <a:cubicBezTo>
                <a:pt x="232286" y="112851"/>
                <a:pt x="245879" y="77713"/>
                <a:pt x="246834" y="75643"/>
              </a:cubicBezTo>
              <a:cubicBezTo>
                <a:pt x="249980" y="68827"/>
                <a:pt x="256608" y="64023"/>
                <a:pt x="262758" y="59718"/>
              </a:cubicBezTo>
              <a:cubicBezTo>
                <a:pt x="282200" y="46108"/>
                <a:pt x="288442" y="47475"/>
                <a:pt x="310533" y="43793"/>
              </a:cubicBezTo>
              <a:cubicBezTo>
                <a:pt x="327187" y="46569"/>
                <a:pt x="339569" y="46883"/>
                <a:pt x="354326" y="55737"/>
              </a:cubicBezTo>
              <a:cubicBezTo>
                <a:pt x="367213" y="63469"/>
                <a:pt x="379604" y="77033"/>
                <a:pt x="390157" y="87586"/>
              </a:cubicBezTo>
              <a:cubicBezTo>
                <a:pt x="392811" y="92894"/>
                <a:pt x="396035" y="97954"/>
                <a:pt x="398119" y="103511"/>
              </a:cubicBezTo>
              <a:cubicBezTo>
                <a:pt x="400040" y="108634"/>
                <a:pt x="405969" y="123305"/>
                <a:pt x="402100" y="119436"/>
              </a:cubicBezTo>
              <a:cubicBezTo>
                <a:pt x="397047" y="114383"/>
                <a:pt x="396792" y="106165"/>
                <a:pt x="394138" y="99530"/>
              </a:cubicBezTo>
              <a:cubicBezTo>
                <a:pt x="395465" y="82278"/>
                <a:pt x="394726" y="64741"/>
                <a:pt x="398119" y="47774"/>
              </a:cubicBezTo>
              <a:cubicBezTo>
                <a:pt x="398942" y="43659"/>
                <a:pt x="402100" y="55521"/>
                <a:pt x="402100" y="59718"/>
              </a:cubicBezTo>
              <a:cubicBezTo>
                <a:pt x="402100" y="71735"/>
                <a:pt x="401033" y="83891"/>
                <a:pt x="398119" y="95549"/>
              </a:cubicBezTo>
              <a:cubicBezTo>
                <a:pt x="396959" y="100191"/>
                <a:pt x="393540" y="104109"/>
                <a:pt x="390157" y="107492"/>
              </a:cubicBezTo>
              <a:cubicBezTo>
                <a:pt x="382438" y="115211"/>
                <a:pt x="375984" y="116198"/>
                <a:pt x="366269" y="119436"/>
              </a:cubicBezTo>
              <a:cubicBezTo>
                <a:pt x="348565" y="92878"/>
                <a:pt x="350928" y="102522"/>
                <a:pt x="370251" y="47774"/>
              </a:cubicBezTo>
              <a:cubicBezTo>
                <a:pt x="372309" y="41943"/>
                <a:pt x="389388" y="37414"/>
                <a:pt x="394138" y="35831"/>
              </a:cubicBezTo>
              <a:cubicBezTo>
                <a:pt x="398119" y="37158"/>
                <a:pt x="402483" y="37653"/>
                <a:pt x="406081" y="39812"/>
              </a:cubicBezTo>
              <a:cubicBezTo>
                <a:pt x="417671" y="46765"/>
                <a:pt x="415397" y="54537"/>
                <a:pt x="418025" y="67680"/>
              </a:cubicBezTo>
              <a:cubicBezTo>
                <a:pt x="420161" y="56997"/>
                <a:pt x="424196" y="32545"/>
                <a:pt x="429968" y="23887"/>
              </a:cubicBezTo>
              <a:cubicBezTo>
                <a:pt x="436214" y="14518"/>
                <a:pt x="453856" y="0"/>
                <a:pt x="453856" y="0"/>
              </a:cubicBezTo>
              <a:cubicBezTo>
                <a:pt x="457837" y="5308"/>
                <a:pt x="464976" y="9341"/>
                <a:pt x="465799" y="15925"/>
              </a:cubicBezTo>
              <a:cubicBezTo>
                <a:pt x="471236" y="59424"/>
                <a:pt x="469634" y="55883"/>
                <a:pt x="449874" y="75643"/>
              </a:cubicBezTo>
              <a:cubicBezTo>
                <a:pt x="445893" y="74316"/>
                <a:pt x="438253" y="75845"/>
                <a:pt x="437931" y="71661"/>
              </a:cubicBezTo>
              <a:cubicBezTo>
                <a:pt x="434517" y="27275"/>
                <a:pt x="436065" y="30439"/>
                <a:pt x="457837" y="15925"/>
              </a:cubicBezTo>
              <a:cubicBezTo>
                <a:pt x="463145" y="17252"/>
                <a:pt x="469489" y="16488"/>
                <a:pt x="473762" y="19906"/>
              </a:cubicBezTo>
              <a:cubicBezTo>
                <a:pt x="477039" y="22528"/>
                <a:pt x="476590" y="27815"/>
                <a:pt x="477743" y="31850"/>
              </a:cubicBezTo>
              <a:cubicBezTo>
                <a:pt x="479246" y="37111"/>
                <a:pt x="480397" y="42466"/>
                <a:pt x="481724" y="47774"/>
              </a:cubicBezTo>
              <a:cubicBezTo>
                <a:pt x="474042" y="101552"/>
                <a:pt x="476166" y="74816"/>
                <a:pt x="481724" y="63699"/>
              </a:cubicBezTo>
              <a:cubicBezTo>
                <a:pt x="483864" y="59420"/>
                <a:pt x="487032" y="55737"/>
                <a:pt x="489686" y="51756"/>
              </a:cubicBezTo>
              <a:cubicBezTo>
                <a:pt x="493140" y="72474"/>
                <a:pt x="498205" y="79888"/>
                <a:pt x="485705" y="99530"/>
              </a:cubicBezTo>
              <a:cubicBezTo>
                <a:pt x="480667" y="107447"/>
                <a:pt x="465799" y="119436"/>
                <a:pt x="465799" y="119436"/>
              </a:cubicBezTo>
              <a:cubicBezTo>
                <a:pt x="460491" y="116782"/>
                <a:pt x="452927" y="116562"/>
                <a:pt x="449874" y="111473"/>
              </a:cubicBezTo>
              <a:cubicBezTo>
                <a:pt x="447715" y="107875"/>
                <a:pt x="449785" y="100548"/>
                <a:pt x="453856" y="99530"/>
              </a:cubicBezTo>
              <a:cubicBezTo>
                <a:pt x="458498" y="98370"/>
                <a:pt x="461818" y="104838"/>
                <a:pt x="465799" y="107492"/>
              </a:cubicBezTo>
              <a:cubicBezTo>
                <a:pt x="467126" y="111473"/>
                <a:pt x="469780" y="115239"/>
                <a:pt x="469780" y="119436"/>
              </a:cubicBezTo>
              <a:cubicBezTo>
                <a:pt x="469780" y="130958"/>
                <a:pt x="461036" y="136142"/>
                <a:pt x="453856" y="143323"/>
              </a:cubicBezTo>
              <a:cubicBezTo>
                <a:pt x="444566" y="140669"/>
                <a:pt x="434332" y="140229"/>
                <a:pt x="425987" y="135361"/>
              </a:cubicBezTo>
              <a:cubicBezTo>
                <a:pt x="417881" y="130633"/>
                <a:pt x="406081" y="115455"/>
                <a:pt x="406081" y="115455"/>
              </a:cubicBezTo>
              <a:cubicBezTo>
                <a:pt x="404754" y="126071"/>
                <a:pt x="407844" y="138278"/>
                <a:pt x="402100" y="147304"/>
              </a:cubicBezTo>
              <a:cubicBezTo>
                <a:pt x="389520" y="167073"/>
                <a:pt x="357289" y="156923"/>
                <a:pt x="342382" y="155266"/>
              </a:cubicBezTo>
              <a:cubicBezTo>
                <a:pt x="338401" y="151285"/>
                <a:pt x="333711" y="147904"/>
                <a:pt x="330439" y="143323"/>
              </a:cubicBezTo>
              <a:cubicBezTo>
                <a:pt x="326989" y="138494"/>
                <a:pt x="328411" y="127398"/>
                <a:pt x="322476" y="127398"/>
              </a:cubicBezTo>
              <a:cubicBezTo>
                <a:pt x="317004" y="127398"/>
                <a:pt x="321210" y="138572"/>
                <a:pt x="318495" y="143323"/>
              </a:cubicBezTo>
              <a:cubicBezTo>
                <a:pt x="315702" y="148211"/>
                <a:pt x="311380" y="152369"/>
                <a:pt x="306552" y="155266"/>
              </a:cubicBezTo>
              <a:cubicBezTo>
                <a:pt x="281282" y="170428"/>
                <a:pt x="272505" y="167896"/>
                <a:pt x="242852" y="171191"/>
              </a:cubicBezTo>
              <a:cubicBezTo>
                <a:pt x="230909" y="169864"/>
                <a:pt x="218600" y="170426"/>
                <a:pt x="207022" y="167210"/>
              </a:cubicBezTo>
              <a:cubicBezTo>
                <a:pt x="182442" y="160382"/>
                <a:pt x="160539" y="144628"/>
                <a:pt x="139341" y="131379"/>
              </a:cubicBezTo>
              <a:cubicBezTo>
                <a:pt x="134033" y="124744"/>
                <a:pt x="129012" y="117868"/>
                <a:pt x="123417" y="111473"/>
              </a:cubicBezTo>
              <a:cubicBezTo>
                <a:pt x="119709" y="107236"/>
                <a:pt x="111473" y="93900"/>
                <a:pt x="111473" y="99530"/>
              </a:cubicBezTo>
              <a:cubicBezTo>
                <a:pt x="111473" y="107268"/>
                <a:pt x="119436" y="112801"/>
                <a:pt x="123417" y="119436"/>
              </a:cubicBezTo>
              <a:cubicBezTo>
                <a:pt x="122090" y="131379"/>
                <a:pt x="129281" y="148375"/>
                <a:pt x="119436" y="155266"/>
              </a:cubicBezTo>
              <a:cubicBezTo>
                <a:pt x="100529" y="168501"/>
                <a:pt x="81940" y="145639"/>
                <a:pt x="71661" y="135361"/>
              </a:cubicBezTo>
              <a:cubicBezTo>
                <a:pt x="70334" y="131380"/>
                <a:pt x="67680" y="127614"/>
                <a:pt x="67680" y="123417"/>
              </a:cubicBezTo>
              <a:cubicBezTo>
                <a:pt x="67680" y="119220"/>
                <a:pt x="68169" y="109145"/>
                <a:pt x="71661" y="111473"/>
              </a:cubicBezTo>
              <a:cubicBezTo>
                <a:pt x="73703" y="112834"/>
                <a:pt x="81757" y="137777"/>
                <a:pt x="83605" y="143323"/>
              </a:cubicBezTo>
              <a:cubicBezTo>
                <a:pt x="82278" y="148631"/>
                <a:pt x="84001" y="155965"/>
                <a:pt x="79624" y="159248"/>
              </a:cubicBezTo>
              <a:cubicBezTo>
                <a:pt x="76267" y="161766"/>
                <a:pt x="71324" y="157348"/>
                <a:pt x="67680" y="155266"/>
              </a:cubicBezTo>
              <a:cubicBezTo>
                <a:pt x="61919" y="151974"/>
                <a:pt x="57063" y="147304"/>
                <a:pt x="51755" y="143323"/>
              </a:cubicBezTo>
              <a:lnTo>
                <a:pt x="63699" y="139342"/>
              </a:ln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553386</xdr:colOff>
      <xdr:row>122</xdr:row>
      <xdr:rowOff>3981</xdr:rowOff>
    </xdr:from>
    <xdr:to>
      <xdr:col>1</xdr:col>
      <xdr:colOff>222964</xdr:colOff>
      <xdr:row>122</xdr:row>
      <xdr:rowOff>180487</xdr:rowOff>
    </xdr:to>
    <xdr:sp macro="" textlink="">
      <xdr:nvSpPr>
        <xdr:cNvPr id="15" name="Freeform 14">
          <a:extLst>
            <a:ext uri="{FF2B5EF4-FFF2-40B4-BE49-F238E27FC236}">
              <a16:creationId xmlns:a16="http://schemas.microsoft.com/office/drawing/2014/main" id="{3D66CDEB-7059-8E43-814A-7E4EB6724B34}"/>
            </a:ext>
          </a:extLst>
        </xdr:cNvPr>
        <xdr:cNvSpPr/>
      </xdr:nvSpPr>
      <xdr:spPr>
        <a:xfrm>
          <a:off x="13501115186" y="24981975"/>
          <a:ext cx="493685" cy="176506"/>
        </a:xfrm>
        <a:custGeom>
          <a:avLst/>
          <a:gdLst>
            <a:gd name="connsiteX0" fmla="*/ 0 w 493685"/>
            <a:gd name="connsiteY0" fmla="*/ 79624 h 176506"/>
            <a:gd name="connsiteX1" fmla="*/ 3981 w 493685"/>
            <a:gd name="connsiteY1" fmla="*/ 111473 h 176506"/>
            <a:gd name="connsiteX2" fmla="*/ 15925 w 493685"/>
            <a:gd name="connsiteY2" fmla="*/ 103511 h 176506"/>
            <a:gd name="connsiteX3" fmla="*/ 43793 w 493685"/>
            <a:gd name="connsiteY3" fmla="*/ 75643 h 176506"/>
            <a:gd name="connsiteX4" fmla="*/ 59718 w 493685"/>
            <a:gd name="connsiteY4" fmla="*/ 59718 h 176506"/>
            <a:gd name="connsiteX5" fmla="*/ 75642 w 493685"/>
            <a:gd name="connsiteY5" fmla="*/ 43793 h 176506"/>
            <a:gd name="connsiteX6" fmla="*/ 83605 w 493685"/>
            <a:gd name="connsiteY6" fmla="*/ 35831 h 176506"/>
            <a:gd name="connsiteX7" fmla="*/ 87586 w 493685"/>
            <a:gd name="connsiteY7" fmla="*/ 51756 h 176506"/>
            <a:gd name="connsiteX8" fmla="*/ 75642 w 493685"/>
            <a:gd name="connsiteY8" fmla="*/ 71661 h 176506"/>
            <a:gd name="connsiteX9" fmla="*/ 51755 w 493685"/>
            <a:gd name="connsiteY9" fmla="*/ 103511 h 176506"/>
            <a:gd name="connsiteX10" fmla="*/ 31849 w 493685"/>
            <a:gd name="connsiteY10" fmla="*/ 123417 h 176506"/>
            <a:gd name="connsiteX11" fmla="*/ 43793 w 493685"/>
            <a:gd name="connsiteY11" fmla="*/ 127398 h 176506"/>
            <a:gd name="connsiteX12" fmla="*/ 75642 w 493685"/>
            <a:gd name="connsiteY12" fmla="*/ 107492 h 176506"/>
            <a:gd name="connsiteX13" fmla="*/ 107492 w 493685"/>
            <a:gd name="connsiteY13" fmla="*/ 87586 h 176506"/>
            <a:gd name="connsiteX14" fmla="*/ 83605 w 493685"/>
            <a:gd name="connsiteY14" fmla="*/ 115455 h 176506"/>
            <a:gd name="connsiteX15" fmla="*/ 71661 w 493685"/>
            <a:gd name="connsiteY15" fmla="*/ 131379 h 176506"/>
            <a:gd name="connsiteX16" fmla="*/ 55736 w 493685"/>
            <a:gd name="connsiteY16" fmla="*/ 147304 h 176506"/>
            <a:gd name="connsiteX17" fmla="*/ 43793 w 493685"/>
            <a:gd name="connsiteY17" fmla="*/ 163229 h 176506"/>
            <a:gd name="connsiteX18" fmla="*/ 31849 w 493685"/>
            <a:gd name="connsiteY18" fmla="*/ 175172 h 176506"/>
            <a:gd name="connsiteX19" fmla="*/ 43793 w 493685"/>
            <a:gd name="connsiteY19" fmla="*/ 167210 h 176506"/>
            <a:gd name="connsiteX20" fmla="*/ 67680 w 493685"/>
            <a:gd name="connsiteY20" fmla="*/ 139342 h 176506"/>
            <a:gd name="connsiteX21" fmla="*/ 151285 w 493685"/>
            <a:gd name="connsiteY21" fmla="*/ 59718 h 176506"/>
            <a:gd name="connsiteX22" fmla="*/ 195078 w 493685"/>
            <a:gd name="connsiteY22" fmla="*/ 31850 h 176506"/>
            <a:gd name="connsiteX23" fmla="*/ 207022 w 493685"/>
            <a:gd name="connsiteY23" fmla="*/ 35831 h 176506"/>
            <a:gd name="connsiteX24" fmla="*/ 203041 w 493685"/>
            <a:gd name="connsiteY24" fmla="*/ 51756 h 176506"/>
            <a:gd name="connsiteX25" fmla="*/ 183135 w 493685"/>
            <a:gd name="connsiteY25" fmla="*/ 67680 h 176506"/>
            <a:gd name="connsiteX26" fmla="*/ 175172 w 493685"/>
            <a:gd name="connsiteY26" fmla="*/ 75643 h 176506"/>
            <a:gd name="connsiteX27" fmla="*/ 163229 w 493685"/>
            <a:gd name="connsiteY27" fmla="*/ 79624 h 176506"/>
            <a:gd name="connsiteX28" fmla="*/ 179153 w 493685"/>
            <a:gd name="connsiteY28" fmla="*/ 71661 h 176506"/>
            <a:gd name="connsiteX29" fmla="*/ 191097 w 493685"/>
            <a:gd name="connsiteY29" fmla="*/ 63699 h 176506"/>
            <a:gd name="connsiteX30" fmla="*/ 218965 w 493685"/>
            <a:gd name="connsiteY30" fmla="*/ 47774 h 176506"/>
            <a:gd name="connsiteX31" fmla="*/ 211003 w 493685"/>
            <a:gd name="connsiteY31" fmla="*/ 63699 h 176506"/>
            <a:gd name="connsiteX32" fmla="*/ 183135 w 493685"/>
            <a:gd name="connsiteY32" fmla="*/ 95549 h 176506"/>
            <a:gd name="connsiteX33" fmla="*/ 171191 w 493685"/>
            <a:gd name="connsiteY33" fmla="*/ 103511 h 176506"/>
            <a:gd name="connsiteX34" fmla="*/ 155266 w 493685"/>
            <a:gd name="connsiteY34" fmla="*/ 107492 h 176506"/>
            <a:gd name="connsiteX35" fmla="*/ 159247 w 493685"/>
            <a:gd name="connsiteY35" fmla="*/ 63699 h 176506"/>
            <a:gd name="connsiteX36" fmla="*/ 203041 w 493685"/>
            <a:gd name="connsiteY36" fmla="*/ 35831 h 176506"/>
            <a:gd name="connsiteX37" fmla="*/ 254796 w 493685"/>
            <a:gd name="connsiteY37" fmla="*/ 63699 h 176506"/>
            <a:gd name="connsiteX38" fmla="*/ 258777 w 493685"/>
            <a:gd name="connsiteY38" fmla="*/ 83605 h 176506"/>
            <a:gd name="connsiteX39" fmla="*/ 238871 w 493685"/>
            <a:gd name="connsiteY39" fmla="*/ 119436 h 176506"/>
            <a:gd name="connsiteX40" fmla="*/ 222947 w 493685"/>
            <a:gd name="connsiteY40" fmla="*/ 115455 h 176506"/>
            <a:gd name="connsiteX41" fmla="*/ 242852 w 493685"/>
            <a:gd name="connsiteY41" fmla="*/ 59718 h 176506"/>
            <a:gd name="connsiteX42" fmla="*/ 254796 w 493685"/>
            <a:gd name="connsiteY42" fmla="*/ 55737 h 176506"/>
            <a:gd name="connsiteX43" fmla="*/ 266740 w 493685"/>
            <a:gd name="connsiteY43" fmla="*/ 59718 h 176506"/>
            <a:gd name="connsiteX44" fmla="*/ 270721 w 493685"/>
            <a:gd name="connsiteY44" fmla="*/ 71661 h 176506"/>
            <a:gd name="connsiteX45" fmla="*/ 254796 w 493685"/>
            <a:gd name="connsiteY45" fmla="*/ 127398 h 176506"/>
            <a:gd name="connsiteX46" fmla="*/ 242852 w 493685"/>
            <a:gd name="connsiteY46" fmla="*/ 123417 h 176506"/>
            <a:gd name="connsiteX47" fmla="*/ 246834 w 493685"/>
            <a:gd name="connsiteY47" fmla="*/ 75643 h 176506"/>
            <a:gd name="connsiteX48" fmla="*/ 262758 w 493685"/>
            <a:gd name="connsiteY48" fmla="*/ 59718 h 176506"/>
            <a:gd name="connsiteX49" fmla="*/ 310533 w 493685"/>
            <a:gd name="connsiteY49" fmla="*/ 43793 h 176506"/>
            <a:gd name="connsiteX50" fmla="*/ 354326 w 493685"/>
            <a:gd name="connsiteY50" fmla="*/ 55737 h 176506"/>
            <a:gd name="connsiteX51" fmla="*/ 390157 w 493685"/>
            <a:gd name="connsiteY51" fmla="*/ 87586 h 176506"/>
            <a:gd name="connsiteX52" fmla="*/ 398119 w 493685"/>
            <a:gd name="connsiteY52" fmla="*/ 103511 h 176506"/>
            <a:gd name="connsiteX53" fmla="*/ 402100 w 493685"/>
            <a:gd name="connsiteY53" fmla="*/ 119436 h 176506"/>
            <a:gd name="connsiteX54" fmla="*/ 394138 w 493685"/>
            <a:gd name="connsiteY54" fmla="*/ 99530 h 176506"/>
            <a:gd name="connsiteX55" fmla="*/ 398119 w 493685"/>
            <a:gd name="connsiteY55" fmla="*/ 47774 h 176506"/>
            <a:gd name="connsiteX56" fmla="*/ 402100 w 493685"/>
            <a:gd name="connsiteY56" fmla="*/ 59718 h 176506"/>
            <a:gd name="connsiteX57" fmla="*/ 398119 w 493685"/>
            <a:gd name="connsiteY57" fmla="*/ 95549 h 176506"/>
            <a:gd name="connsiteX58" fmla="*/ 390157 w 493685"/>
            <a:gd name="connsiteY58" fmla="*/ 107492 h 176506"/>
            <a:gd name="connsiteX59" fmla="*/ 366269 w 493685"/>
            <a:gd name="connsiteY59" fmla="*/ 119436 h 176506"/>
            <a:gd name="connsiteX60" fmla="*/ 370251 w 493685"/>
            <a:gd name="connsiteY60" fmla="*/ 47774 h 176506"/>
            <a:gd name="connsiteX61" fmla="*/ 394138 w 493685"/>
            <a:gd name="connsiteY61" fmla="*/ 35831 h 176506"/>
            <a:gd name="connsiteX62" fmla="*/ 406081 w 493685"/>
            <a:gd name="connsiteY62" fmla="*/ 39812 h 176506"/>
            <a:gd name="connsiteX63" fmla="*/ 418025 w 493685"/>
            <a:gd name="connsiteY63" fmla="*/ 67680 h 176506"/>
            <a:gd name="connsiteX64" fmla="*/ 429968 w 493685"/>
            <a:gd name="connsiteY64" fmla="*/ 23887 h 176506"/>
            <a:gd name="connsiteX65" fmla="*/ 453856 w 493685"/>
            <a:gd name="connsiteY65" fmla="*/ 0 h 176506"/>
            <a:gd name="connsiteX66" fmla="*/ 465799 w 493685"/>
            <a:gd name="connsiteY66" fmla="*/ 15925 h 176506"/>
            <a:gd name="connsiteX67" fmla="*/ 449874 w 493685"/>
            <a:gd name="connsiteY67" fmla="*/ 75643 h 176506"/>
            <a:gd name="connsiteX68" fmla="*/ 437931 w 493685"/>
            <a:gd name="connsiteY68" fmla="*/ 71661 h 176506"/>
            <a:gd name="connsiteX69" fmla="*/ 457837 w 493685"/>
            <a:gd name="connsiteY69" fmla="*/ 15925 h 176506"/>
            <a:gd name="connsiteX70" fmla="*/ 473762 w 493685"/>
            <a:gd name="connsiteY70" fmla="*/ 19906 h 176506"/>
            <a:gd name="connsiteX71" fmla="*/ 477743 w 493685"/>
            <a:gd name="connsiteY71" fmla="*/ 31850 h 176506"/>
            <a:gd name="connsiteX72" fmla="*/ 481724 w 493685"/>
            <a:gd name="connsiteY72" fmla="*/ 47774 h 176506"/>
            <a:gd name="connsiteX73" fmla="*/ 481724 w 493685"/>
            <a:gd name="connsiteY73" fmla="*/ 63699 h 176506"/>
            <a:gd name="connsiteX74" fmla="*/ 489686 w 493685"/>
            <a:gd name="connsiteY74" fmla="*/ 51756 h 176506"/>
            <a:gd name="connsiteX75" fmla="*/ 485705 w 493685"/>
            <a:gd name="connsiteY75" fmla="*/ 99530 h 176506"/>
            <a:gd name="connsiteX76" fmla="*/ 465799 w 493685"/>
            <a:gd name="connsiteY76" fmla="*/ 119436 h 176506"/>
            <a:gd name="connsiteX77" fmla="*/ 449874 w 493685"/>
            <a:gd name="connsiteY77" fmla="*/ 111473 h 176506"/>
            <a:gd name="connsiteX78" fmla="*/ 453856 w 493685"/>
            <a:gd name="connsiteY78" fmla="*/ 99530 h 176506"/>
            <a:gd name="connsiteX79" fmla="*/ 465799 w 493685"/>
            <a:gd name="connsiteY79" fmla="*/ 107492 h 176506"/>
            <a:gd name="connsiteX80" fmla="*/ 469780 w 493685"/>
            <a:gd name="connsiteY80" fmla="*/ 119436 h 176506"/>
            <a:gd name="connsiteX81" fmla="*/ 453856 w 493685"/>
            <a:gd name="connsiteY81" fmla="*/ 143323 h 176506"/>
            <a:gd name="connsiteX82" fmla="*/ 425987 w 493685"/>
            <a:gd name="connsiteY82" fmla="*/ 135361 h 176506"/>
            <a:gd name="connsiteX83" fmla="*/ 406081 w 493685"/>
            <a:gd name="connsiteY83" fmla="*/ 115455 h 176506"/>
            <a:gd name="connsiteX84" fmla="*/ 402100 w 493685"/>
            <a:gd name="connsiteY84" fmla="*/ 147304 h 176506"/>
            <a:gd name="connsiteX85" fmla="*/ 342382 w 493685"/>
            <a:gd name="connsiteY85" fmla="*/ 155266 h 176506"/>
            <a:gd name="connsiteX86" fmla="*/ 330439 w 493685"/>
            <a:gd name="connsiteY86" fmla="*/ 143323 h 176506"/>
            <a:gd name="connsiteX87" fmla="*/ 322476 w 493685"/>
            <a:gd name="connsiteY87" fmla="*/ 127398 h 176506"/>
            <a:gd name="connsiteX88" fmla="*/ 318495 w 493685"/>
            <a:gd name="connsiteY88" fmla="*/ 143323 h 176506"/>
            <a:gd name="connsiteX89" fmla="*/ 306552 w 493685"/>
            <a:gd name="connsiteY89" fmla="*/ 155266 h 176506"/>
            <a:gd name="connsiteX90" fmla="*/ 242852 w 493685"/>
            <a:gd name="connsiteY90" fmla="*/ 171191 h 176506"/>
            <a:gd name="connsiteX91" fmla="*/ 207022 w 493685"/>
            <a:gd name="connsiteY91" fmla="*/ 167210 h 176506"/>
            <a:gd name="connsiteX92" fmla="*/ 139341 w 493685"/>
            <a:gd name="connsiteY92" fmla="*/ 131379 h 176506"/>
            <a:gd name="connsiteX93" fmla="*/ 123417 w 493685"/>
            <a:gd name="connsiteY93" fmla="*/ 111473 h 176506"/>
            <a:gd name="connsiteX94" fmla="*/ 111473 w 493685"/>
            <a:gd name="connsiteY94" fmla="*/ 99530 h 176506"/>
            <a:gd name="connsiteX95" fmla="*/ 123417 w 493685"/>
            <a:gd name="connsiteY95" fmla="*/ 119436 h 176506"/>
            <a:gd name="connsiteX96" fmla="*/ 119436 w 493685"/>
            <a:gd name="connsiteY96" fmla="*/ 155266 h 176506"/>
            <a:gd name="connsiteX97" fmla="*/ 71661 w 493685"/>
            <a:gd name="connsiteY97" fmla="*/ 135361 h 176506"/>
            <a:gd name="connsiteX98" fmla="*/ 67680 w 493685"/>
            <a:gd name="connsiteY98" fmla="*/ 123417 h 176506"/>
            <a:gd name="connsiteX99" fmla="*/ 71661 w 493685"/>
            <a:gd name="connsiteY99" fmla="*/ 111473 h 176506"/>
            <a:gd name="connsiteX100" fmla="*/ 83605 w 493685"/>
            <a:gd name="connsiteY100" fmla="*/ 143323 h 176506"/>
            <a:gd name="connsiteX101" fmla="*/ 79624 w 493685"/>
            <a:gd name="connsiteY101" fmla="*/ 159248 h 176506"/>
            <a:gd name="connsiteX102" fmla="*/ 67680 w 493685"/>
            <a:gd name="connsiteY102" fmla="*/ 155266 h 176506"/>
            <a:gd name="connsiteX103" fmla="*/ 51755 w 493685"/>
            <a:gd name="connsiteY103" fmla="*/ 143323 h 176506"/>
            <a:gd name="connsiteX104" fmla="*/ 63699 w 493685"/>
            <a:gd name="connsiteY104" fmla="*/ 139342 h 17650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  <a:cxn ang="0">
              <a:pos x="connsiteX103" y="connsiteY103"/>
            </a:cxn>
            <a:cxn ang="0">
              <a:pos x="connsiteX104" y="connsiteY104"/>
            </a:cxn>
          </a:cxnLst>
          <a:rect l="l" t="t" r="r" b="b"/>
          <a:pathLst>
            <a:path w="493685" h="176506">
              <a:moveTo>
                <a:pt x="0" y="79624"/>
              </a:moveTo>
              <a:cubicBezTo>
                <a:pt x="1327" y="90240"/>
                <a:pt x="-1954" y="102571"/>
                <a:pt x="3981" y="111473"/>
              </a:cubicBezTo>
              <a:cubicBezTo>
                <a:pt x="6635" y="115454"/>
                <a:pt x="12368" y="106712"/>
                <a:pt x="15925" y="103511"/>
              </a:cubicBezTo>
              <a:cubicBezTo>
                <a:pt x="25690" y="94723"/>
                <a:pt x="34504" y="84932"/>
                <a:pt x="43793" y="75643"/>
              </a:cubicBezTo>
              <a:lnTo>
                <a:pt x="59718" y="59718"/>
              </a:lnTo>
              <a:lnTo>
                <a:pt x="75642" y="43793"/>
              </a:lnTo>
              <a:lnTo>
                <a:pt x="83605" y="35831"/>
              </a:lnTo>
              <a:cubicBezTo>
                <a:pt x="84932" y="41139"/>
                <a:pt x="88773" y="46415"/>
                <a:pt x="87586" y="51756"/>
              </a:cubicBezTo>
              <a:cubicBezTo>
                <a:pt x="85907" y="59310"/>
                <a:pt x="80047" y="65299"/>
                <a:pt x="75642" y="71661"/>
              </a:cubicBezTo>
              <a:cubicBezTo>
                <a:pt x="68088" y="82572"/>
                <a:pt x="61139" y="94127"/>
                <a:pt x="51755" y="103511"/>
              </a:cubicBezTo>
              <a:lnTo>
                <a:pt x="31849" y="123417"/>
              </a:lnTo>
              <a:cubicBezTo>
                <a:pt x="35830" y="124744"/>
                <a:pt x="39639" y="127991"/>
                <a:pt x="43793" y="127398"/>
              </a:cubicBezTo>
              <a:cubicBezTo>
                <a:pt x="54257" y="125903"/>
                <a:pt x="67710" y="112449"/>
                <a:pt x="75642" y="107492"/>
              </a:cubicBezTo>
              <a:cubicBezTo>
                <a:pt x="119369" y="80162"/>
                <a:pt x="62371" y="121428"/>
                <a:pt x="107492" y="87586"/>
              </a:cubicBezTo>
              <a:cubicBezTo>
                <a:pt x="91942" y="118688"/>
                <a:pt x="109444" y="89617"/>
                <a:pt x="83605" y="115455"/>
              </a:cubicBezTo>
              <a:cubicBezTo>
                <a:pt x="78913" y="120147"/>
                <a:pt x="76030" y="126386"/>
                <a:pt x="71661" y="131379"/>
              </a:cubicBezTo>
              <a:cubicBezTo>
                <a:pt x="66717" y="137029"/>
                <a:pt x="60679" y="141654"/>
                <a:pt x="55736" y="147304"/>
              </a:cubicBezTo>
              <a:cubicBezTo>
                <a:pt x="51367" y="152298"/>
                <a:pt x="48111" y="158191"/>
                <a:pt x="43793" y="163229"/>
              </a:cubicBezTo>
              <a:cubicBezTo>
                <a:pt x="40129" y="167504"/>
                <a:pt x="31849" y="169542"/>
                <a:pt x="31849" y="175172"/>
              </a:cubicBezTo>
              <a:cubicBezTo>
                <a:pt x="31849" y="179957"/>
                <a:pt x="40410" y="170593"/>
                <a:pt x="43793" y="167210"/>
              </a:cubicBezTo>
              <a:cubicBezTo>
                <a:pt x="52444" y="158559"/>
                <a:pt x="59029" y="147993"/>
                <a:pt x="67680" y="139342"/>
              </a:cubicBezTo>
              <a:cubicBezTo>
                <a:pt x="94893" y="112129"/>
                <a:pt x="117871" y="78812"/>
                <a:pt x="151285" y="59718"/>
              </a:cubicBezTo>
              <a:cubicBezTo>
                <a:pt x="184914" y="40501"/>
                <a:pt x="170594" y="50212"/>
                <a:pt x="195078" y="31850"/>
              </a:cubicBezTo>
              <a:cubicBezTo>
                <a:pt x="199059" y="33177"/>
                <a:pt x="205463" y="31935"/>
                <a:pt x="207022" y="35831"/>
              </a:cubicBezTo>
              <a:cubicBezTo>
                <a:pt x="209054" y="40911"/>
                <a:pt x="205488" y="46862"/>
                <a:pt x="203041" y="51756"/>
              </a:cubicBezTo>
              <a:cubicBezTo>
                <a:pt x="199838" y="58163"/>
                <a:pt x="187821" y="63931"/>
                <a:pt x="183135" y="67680"/>
              </a:cubicBezTo>
              <a:cubicBezTo>
                <a:pt x="180204" y="70025"/>
                <a:pt x="178391" y="73712"/>
                <a:pt x="175172" y="75643"/>
              </a:cubicBezTo>
              <a:cubicBezTo>
                <a:pt x="171574" y="77802"/>
                <a:pt x="160262" y="82592"/>
                <a:pt x="163229" y="79624"/>
              </a:cubicBezTo>
              <a:cubicBezTo>
                <a:pt x="167425" y="75427"/>
                <a:pt x="174000" y="74605"/>
                <a:pt x="179153" y="71661"/>
              </a:cubicBezTo>
              <a:cubicBezTo>
                <a:pt x="183307" y="69287"/>
                <a:pt x="187203" y="66480"/>
                <a:pt x="191097" y="63699"/>
              </a:cubicBezTo>
              <a:cubicBezTo>
                <a:pt x="212188" y="48635"/>
                <a:pt x="199584" y="54236"/>
                <a:pt x="218965" y="47774"/>
              </a:cubicBezTo>
              <a:cubicBezTo>
                <a:pt x="216311" y="53082"/>
                <a:pt x="214148" y="58666"/>
                <a:pt x="211003" y="63699"/>
              </a:cubicBezTo>
              <a:cubicBezTo>
                <a:pt x="203966" y="74958"/>
                <a:pt x="193104" y="87004"/>
                <a:pt x="183135" y="95549"/>
              </a:cubicBezTo>
              <a:cubicBezTo>
                <a:pt x="179502" y="98663"/>
                <a:pt x="175589" y="101626"/>
                <a:pt x="171191" y="103511"/>
              </a:cubicBezTo>
              <a:cubicBezTo>
                <a:pt x="166162" y="105666"/>
                <a:pt x="160574" y="106165"/>
                <a:pt x="155266" y="107492"/>
              </a:cubicBezTo>
              <a:cubicBezTo>
                <a:pt x="156593" y="92894"/>
                <a:pt x="153666" y="77253"/>
                <a:pt x="159247" y="63699"/>
              </a:cubicBezTo>
              <a:cubicBezTo>
                <a:pt x="169540" y="38703"/>
                <a:pt x="183138" y="39811"/>
                <a:pt x="203041" y="35831"/>
              </a:cubicBezTo>
              <a:cubicBezTo>
                <a:pt x="238792" y="45581"/>
                <a:pt x="245468" y="35713"/>
                <a:pt x="254796" y="63699"/>
              </a:cubicBezTo>
              <a:cubicBezTo>
                <a:pt x="256936" y="70119"/>
                <a:pt x="257450" y="76970"/>
                <a:pt x="258777" y="83605"/>
              </a:cubicBezTo>
              <a:cubicBezTo>
                <a:pt x="256054" y="102668"/>
                <a:pt x="261862" y="116561"/>
                <a:pt x="238871" y="119436"/>
              </a:cubicBezTo>
              <a:cubicBezTo>
                <a:pt x="233442" y="120115"/>
                <a:pt x="228255" y="116782"/>
                <a:pt x="222947" y="115455"/>
              </a:cubicBezTo>
              <a:cubicBezTo>
                <a:pt x="229101" y="78531"/>
                <a:pt x="218245" y="72021"/>
                <a:pt x="242852" y="59718"/>
              </a:cubicBezTo>
              <a:cubicBezTo>
                <a:pt x="246606" y="57841"/>
                <a:pt x="250815" y="57064"/>
                <a:pt x="254796" y="55737"/>
              </a:cubicBezTo>
              <a:cubicBezTo>
                <a:pt x="258777" y="57064"/>
                <a:pt x="263772" y="56751"/>
                <a:pt x="266740" y="59718"/>
              </a:cubicBezTo>
              <a:cubicBezTo>
                <a:pt x="269707" y="62685"/>
                <a:pt x="270721" y="67465"/>
                <a:pt x="270721" y="71661"/>
              </a:cubicBezTo>
              <a:cubicBezTo>
                <a:pt x="270721" y="126167"/>
                <a:pt x="282112" y="118294"/>
                <a:pt x="254796" y="127398"/>
              </a:cubicBezTo>
              <a:cubicBezTo>
                <a:pt x="250815" y="126071"/>
                <a:pt x="245819" y="126384"/>
                <a:pt x="242852" y="123417"/>
              </a:cubicBezTo>
              <a:cubicBezTo>
                <a:pt x="232286" y="112851"/>
                <a:pt x="245879" y="77713"/>
                <a:pt x="246834" y="75643"/>
              </a:cubicBezTo>
              <a:cubicBezTo>
                <a:pt x="249980" y="68827"/>
                <a:pt x="256608" y="64023"/>
                <a:pt x="262758" y="59718"/>
              </a:cubicBezTo>
              <a:cubicBezTo>
                <a:pt x="282200" y="46108"/>
                <a:pt x="288442" y="47475"/>
                <a:pt x="310533" y="43793"/>
              </a:cubicBezTo>
              <a:cubicBezTo>
                <a:pt x="327187" y="46569"/>
                <a:pt x="339569" y="46883"/>
                <a:pt x="354326" y="55737"/>
              </a:cubicBezTo>
              <a:cubicBezTo>
                <a:pt x="367213" y="63469"/>
                <a:pt x="379604" y="77033"/>
                <a:pt x="390157" y="87586"/>
              </a:cubicBezTo>
              <a:cubicBezTo>
                <a:pt x="392811" y="92894"/>
                <a:pt x="396035" y="97954"/>
                <a:pt x="398119" y="103511"/>
              </a:cubicBezTo>
              <a:cubicBezTo>
                <a:pt x="400040" y="108634"/>
                <a:pt x="405969" y="123305"/>
                <a:pt x="402100" y="119436"/>
              </a:cubicBezTo>
              <a:cubicBezTo>
                <a:pt x="397047" y="114383"/>
                <a:pt x="396792" y="106165"/>
                <a:pt x="394138" y="99530"/>
              </a:cubicBezTo>
              <a:cubicBezTo>
                <a:pt x="395465" y="82278"/>
                <a:pt x="394726" y="64741"/>
                <a:pt x="398119" y="47774"/>
              </a:cubicBezTo>
              <a:cubicBezTo>
                <a:pt x="398942" y="43659"/>
                <a:pt x="402100" y="55521"/>
                <a:pt x="402100" y="59718"/>
              </a:cubicBezTo>
              <a:cubicBezTo>
                <a:pt x="402100" y="71735"/>
                <a:pt x="401033" y="83891"/>
                <a:pt x="398119" y="95549"/>
              </a:cubicBezTo>
              <a:cubicBezTo>
                <a:pt x="396959" y="100191"/>
                <a:pt x="393540" y="104109"/>
                <a:pt x="390157" y="107492"/>
              </a:cubicBezTo>
              <a:cubicBezTo>
                <a:pt x="382438" y="115211"/>
                <a:pt x="375984" y="116198"/>
                <a:pt x="366269" y="119436"/>
              </a:cubicBezTo>
              <a:cubicBezTo>
                <a:pt x="348565" y="92878"/>
                <a:pt x="350928" y="102522"/>
                <a:pt x="370251" y="47774"/>
              </a:cubicBezTo>
              <a:cubicBezTo>
                <a:pt x="372309" y="41943"/>
                <a:pt x="389388" y="37414"/>
                <a:pt x="394138" y="35831"/>
              </a:cubicBezTo>
              <a:cubicBezTo>
                <a:pt x="398119" y="37158"/>
                <a:pt x="402483" y="37653"/>
                <a:pt x="406081" y="39812"/>
              </a:cubicBezTo>
              <a:cubicBezTo>
                <a:pt x="417671" y="46765"/>
                <a:pt x="415397" y="54537"/>
                <a:pt x="418025" y="67680"/>
              </a:cubicBezTo>
              <a:cubicBezTo>
                <a:pt x="420161" y="56997"/>
                <a:pt x="424196" y="32545"/>
                <a:pt x="429968" y="23887"/>
              </a:cubicBezTo>
              <a:cubicBezTo>
                <a:pt x="436214" y="14518"/>
                <a:pt x="453856" y="0"/>
                <a:pt x="453856" y="0"/>
              </a:cubicBezTo>
              <a:cubicBezTo>
                <a:pt x="457837" y="5308"/>
                <a:pt x="464976" y="9341"/>
                <a:pt x="465799" y="15925"/>
              </a:cubicBezTo>
              <a:cubicBezTo>
                <a:pt x="471236" y="59424"/>
                <a:pt x="469634" y="55883"/>
                <a:pt x="449874" y="75643"/>
              </a:cubicBezTo>
              <a:cubicBezTo>
                <a:pt x="445893" y="74316"/>
                <a:pt x="438253" y="75845"/>
                <a:pt x="437931" y="71661"/>
              </a:cubicBezTo>
              <a:cubicBezTo>
                <a:pt x="434517" y="27275"/>
                <a:pt x="436065" y="30439"/>
                <a:pt x="457837" y="15925"/>
              </a:cubicBezTo>
              <a:cubicBezTo>
                <a:pt x="463145" y="17252"/>
                <a:pt x="469489" y="16488"/>
                <a:pt x="473762" y="19906"/>
              </a:cubicBezTo>
              <a:cubicBezTo>
                <a:pt x="477039" y="22528"/>
                <a:pt x="476590" y="27815"/>
                <a:pt x="477743" y="31850"/>
              </a:cubicBezTo>
              <a:cubicBezTo>
                <a:pt x="479246" y="37111"/>
                <a:pt x="480397" y="42466"/>
                <a:pt x="481724" y="47774"/>
              </a:cubicBezTo>
              <a:cubicBezTo>
                <a:pt x="474042" y="101552"/>
                <a:pt x="476166" y="74816"/>
                <a:pt x="481724" y="63699"/>
              </a:cubicBezTo>
              <a:cubicBezTo>
                <a:pt x="483864" y="59420"/>
                <a:pt x="487032" y="55737"/>
                <a:pt x="489686" y="51756"/>
              </a:cubicBezTo>
              <a:cubicBezTo>
                <a:pt x="493140" y="72474"/>
                <a:pt x="498205" y="79888"/>
                <a:pt x="485705" y="99530"/>
              </a:cubicBezTo>
              <a:cubicBezTo>
                <a:pt x="480667" y="107447"/>
                <a:pt x="465799" y="119436"/>
                <a:pt x="465799" y="119436"/>
              </a:cubicBezTo>
              <a:cubicBezTo>
                <a:pt x="460491" y="116782"/>
                <a:pt x="452927" y="116562"/>
                <a:pt x="449874" y="111473"/>
              </a:cubicBezTo>
              <a:cubicBezTo>
                <a:pt x="447715" y="107875"/>
                <a:pt x="449785" y="100548"/>
                <a:pt x="453856" y="99530"/>
              </a:cubicBezTo>
              <a:cubicBezTo>
                <a:pt x="458498" y="98370"/>
                <a:pt x="461818" y="104838"/>
                <a:pt x="465799" y="107492"/>
              </a:cubicBezTo>
              <a:cubicBezTo>
                <a:pt x="467126" y="111473"/>
                <a:pt x="469780" y="115239"/>
                <a:pt x="469780" y="119436"/>
              </a:cubicBezTo>
              <a:cubicBezTo>
                <a:pt x="469780" y="130958"/>
                <a:pt x="461036" y="136142"/>
                <a:pt x="453856" y="143323"/>
              </a:cubicBezTo>
              <a:cubicBezTo>
                <a:pt x="444566" y="140669"/>
                <a:pt x="434332" y="140229"/>
                <a:pt x="425987" y="135361"/>
              </a:cubicBezTo>
              <a:cubicBezTo>
                <a:pt x="417881" y="130633"/>
                <a:pt x="406081" y="115455"/>
                <a:pt x="406081" y="115455"/>
              </a:cubicBezTo>
              <a:cubicBezTo>
                <a:pt x="404754" y="126071"/>
                <a:pt x="407844" y="138278"/>
                <a:pt x="402100" y="147304"/>
              </a:cubicBezTo>
              <a:cubicBezTo>
                <a:pt x="389520" y="167073"/>
                <a:pt x="357289" y="156923"/>
                <a:pt x="342382" y="155266"/>
              </a:cubicBezTo>
              <a:cubicBezTo>
                <a:pt x="338401" y="151285"/>
                <a:pt x="333711" y="147904"/>
                <a:pt x="330439" y="143323"/>
              </a:cubicBezTo>
              <a:cubicBezTo>
                <a:pt x="326989" y="138494"/>
                <a:pt x="328411" y="127398"/>
                <a:pt x="322476" y="127398"/>
              </a:cubicBezTo>
              <a:cubicBezTo>
                <a:pt x="317004" y="127398"/>
                <a:pt x="321210" y="138572"/>
                <a:pt x="318495" y="143323"/>
              </a:cubicBezTo>
              <a:cubicBezTo>
                <a:pt x="315702" y="148211"/>
                <a:pt x="311380" y="152369"/>
                <a:pt x="306552" y="155266"/>
              </a:cubicBezTo>
              <a:cubicBezTo>
                <a:pt x="281282" y="170428"/>
                <a:pt x="272505" y="167896"/>
                <a:pt x="242852" y="171191"/>
              </a:cubicBezTo>
              <a:cubicBezTo>
                <a:pt x="230909" y="169864"/>
                <a:pt x="218600" y="170426"/>
                <a:pt x="207022" y="167210"/>
              </a:cubicBezTo>
              <a:cubicBezTo>
                <a:pt x="182442" y="160382"/>
                <a:pt x="160539" y="144628"/>
                <a:pt x="139341" y="131379"/>
              </a:cubicBezTo>
              <a:cubicBezTo>
                <a:pt x="134033" y="124744"/>
                <a:pt x="129012" y="117868"/>
                <a:pt x="123417" y="111473"/>
              </a:cubicBezTo>
              <a:cubicBezTo>
                <a:pt x="119709" y="107236"/>
                <a:pt x="111473" y="93900"/>
                <a:pt x="111473" y="99530"/>
              </a:cubicBezTo>
              <a:cubicBezTo>
                <a:pt x="111473" y="107268"/>
                <a:pt x="119436" y="112801"/>
                <a:pt x="123417" y="119436"/>
              </a:cubicBezTo>
              <a:cubicBezTo>
                <a:pt x="122090" y="131379"/>
                <a:pt x="129281" y="148375"/>
                <a:pt x="119436" y="155266"/>
              </a:cubicBezTo>
              <a:cubicBezTo>
                <a:pt x="100529" y="168501"/>
                <a:pt x="81940" y="145639"/>
                <a:pt x="71661" y="135361"/>
              </a:cubicBezTo>
              <a:cubicBezTo>
                <a:pt x="70334" y="131380"/>
                <a:pt x="67680" y="127614"/>
                <a:pt x="67680" y="123417"/>
              </a:cubicBezTo>
              <a:cubicBezTo>
                <a:pt x="67680" y="119220"/>
                <a:pt x="68169" y="109145"/>
                <a:pt x="71661" y="111473"/>
              </a:cubicBezTo>
              <a:cubicBezTo>
                <a:pt x="73703" y="112834"/>
                <a:pt x="81757" y="137777"/>
                <a:pt x="83605" y="143323"/>
              </a:cubicBezTo>
              <a:cubicBezTo>
                <a:pt x="82278" y="148631"/>
                <a:pt x="84001" y="155965"/>
                <a:pt x="79624" y="159248"/>
              </a:cubicBezTo>
              <a:cubicBezTo>
                <a:pt x="76267" y="161766"/>
                <a:pt x="71324" y="157348"/>
                <a:pt x="67680" y="155266"/>
              </a:cubicBezTo>
              <a:cubicBezTo>
                <a:pt x="61919" y="151974"/>
                <a:pt x="57063" y="147304"/>
                <a:pt x="51755" y="143323"/>
              </a:cubicBezTo>
              <a:lnTo>
                <a:pt x="63699" y="139342"/>
              </a:ln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402100</xdr:colOff>
      <xdr:row>139</xdr:row>
      <xdr:rowOff>143323</xdr:rowOff>
    </xdr:from>
    <xdr:to>
      <xdr:col>8</xdr:col>
      <xdr:colOff>429968</xdr:colOff>
      <xdr:row>150</xdr:row>
      <xdr:rowOff>67680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903B6295-F11E-CA75-A6E9-143AF40A0C61}"/>
            </a:ext>
          </a:extLst>
        </xdr:cNvPr>
        <xdr:cNvCxnSpPr/>
      </xdr:nvCxnSpPr>
      <xdr:spPr>
        <a:xfrm flipV="1">
          <a:off x="13495139436" y="28620784"/>
          <a:ext cx="27868" cy="2157805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7</xdr:col>
      <xdr:colOff>716615</xdr:colOff>
      <xdr:row>137</xdr:row>
      <xdr:rowOff>149931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C6DE2F98-5543-F66A-1280-1BAA9B7E3D2E}"/>
                </a:ext>
              </a:extLst>
            </xdr:cNvPr>
            <xdr:cNvSpPr txBox="1"/>
          </xdr:nvSpPr>
          <xdr:spPr>
            <a:xfrm>
              <a:off x="13494684924" y="28221310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𝐶𝐹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C6DE2F98-5543-F66A-1280-1BAA9B7E3D2E}"/>
                </a:ext>
              </a:extLst>
            </xdr:cNvPr>
            <xdr:cNvSpPr txBox="1"/>
          </xdr:nvSpPr>
          <xdr:spPr>
            <a:xfrm>
              <a:off x="13494684924" y="28221310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𝐶𝐹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728558</xdr:colOff>
      <xdr:row>138</xdr:row>
      <xdr:rowOff>102156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29D06B5E-154D-0B22-061C-15837B6351D2}"/>
                </a:ext>
              </a:extLst>
            </xdr:cNvPr>
            <xdr:cNvSpPr txBox="1"/>
          </xdr:nvSpPr>
          <xdr:spPr>
            <a:xfrm>
              <a:off x="13494672981" y="28376576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29D06B5E-154D-0B22-061C-15837B6351D2}"/>
                </a:ext>
              </a:extLst>
            </xdr:cNvPr>
            <xdr:cNvSpPr txBox="1"/>
          </xdr:nvSpPr>
          <xdr:spPr>
            <a:xfrm>
              <a:off x="13494672981" y="28376576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𝑃&amp;𝐿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298589</xdr:colOff>
      <xdr:row>146</xdr:row>
      <xdr:rowOff>67680</xdr:rowOff>
    </xdr:from>
    <xdr:to>
      <xdr:col>8</xdr:col>
      <xdr:colOff>764388</xdr:colOff>
      <xdr:row>146</xdr:row>
      <xdr:rowOff>87586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66C26793-54CC-73E4-9C3A-0C489D244219}"/>
            </a:ext>
          </a:extLst>
        </xdr:cNvPr>
        <xdr:cNvCxnSpPr/>
      </xdr:nvCxnSpPr>
      <xdr:spPr>
        <a:xfrm flipV="1">
          <a:off x="13494805016" y="29966426"/>
          <a:ext cx="2938119" cy="19906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485707</xdr:colOff>
      <xdr:row>145</xdr:row>
      <xdr:rowOff>149932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2ECC6B9F-67E7-6AFF-C8E4-51E3FBE38673}"/>
                </a:ext>
              </a:extLst>
            </xdr:cNvPr>
            <xdr:cNvSpPr txBox="1"/>
          </xdr:nvSpPr>
          <xdr:spPr>
            <a:xfrm>
              <a:off x="13497388152" y="29845637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𝑠</m:t>
                        </m:r>
                      </m:e>
                      <m:sub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2ECC6B9F-67E7-6AFF-C8E4-51E3FBE38673}"/>
                </a:ext>
              </a:extLst>
            </xdr:cNvPr>
            <xdr:cNvSpPr txBox="1"/>
          </xdr:nvSpPr>
          <xdr:spPr>
            <a:xfrm>
              <a:off x="13497388152" y="29845637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𝑠_𝑡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425988</xdr:colOff>
      <xdr:row>146</xdr:row>
      <xdr:rowOff>31849</xdr:rowOff>
    </xdr:from>
    <xdr:to>
      <xdr:col>7</xdr:col>
      <xdr:colOff>87586</xdr:colOff>
      <xdr:row>146</xdr:row>
      <xdr:rowOff>39812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7950898F-C547-49CF-C33B-9ED7CBD57D9E}"/>
            </a:ext>
          </a:extLst>
        </xdr:cNvPr>
        <xdr:cNvCxnSpPr/>
      </xdr:nvCxnSpPr>
      <xdr:spPr>
        <a:xfrm flipV="1">
          <a:off x="13496305925" y="29930595"/>
          <a:ext cx="1309811" cy="796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82550</xdr:colOff>
      <xdr:row>140</xdr:row>
      <xdr:rowOff>163228</xdr:rowOff>
    </xdr:from>
    <xdr:to>
      <xdr:col>8</xdr:col>
      <xdr:colOff>410062</xdr:colOff>
      <xdr:row>146</xdr:row>
      <xdr:rowOff>44450</xdr:rowOff>
    </xdr:to>
    <xdr:cxnSp macro="">
      <xdr:nvCxnSpPr>
        <xdr:cNvPr id="27" name="Straight Connector 26">
          <a:extLst>
            <a:ext uri="{FF2B5EF4-FFF2-40B4-BE49-F238E27FC236}">
              <a16:creationId xmlns:a16="http://schemas.microsoft.com/office/drawing/2014/main" id="{8D3FF23A-1780-3822-5D0D-854B2CCAE65D}"/>
            </a:ext>
          </a:extLst>
        </xdr:cNvPr>
        <xdr:cNvCxnSpPr/>
      </xdr:nvCxnSpPr>
      <xdr:spPr>
        <a:xfrm>
          <a:off x="13495159342" y="28843730"/>
          <a:ext cx="1151619" cy="109946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6</xdr:col>
      <xdr:colOff>386177</xdr:colOff>
      <xdr:row>146</xdr:row>
      <xdr:rowOff>74290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00E46C14-7ACB-9F84-2128-56F94E577C15}"/>
                </a:ext>
              </a:extLst>
            </xdr:cNvPr>
            <xdr:cNvSpPr txBox="1"/>
          </xdr:nvSpPr>
          <xdr:spPr>
            <a:xfrm>
              <a:off x="13495839469" y="29973036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200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00E46C14-7ACB-9F84-2128-56F94E577C15}"/>
                </a:ext>
              </a:extLst>
            </xdr:cNvPr>
            <xdr:cNvSpPr txBox="1"/>
          </xdr:nvSpPr>
          <xdr:spPr>
            <a:xfrm>
              <a:off x="13495839469" y="29973036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200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390159</xdr:colOff>
      <xdr:row>147</xdr:row>
      <xdr:rowOff>14572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A324D9F-CBA5-A953-B1C3-48FA75FF0F04}"/>
                </a:ext>
              </a:extLst>
            </xdr:cNvPr>
            <xdr:cNvSpPr txBox="1"/>
          </xdr:nvSpPr>
          <xdr:spPr>
            <a:xfrm>
              <a:off x="13495835487" y="30116359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𝑥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A324D9F-CBA5-A953-B1C3-48FA75FF0F04}"/>
                </a:ext>
              </a:extLst>
            </xdr:cNvPr>
            <xdr:cNvSpPr txBox="1"/>
          </xdr:nvSpPr>
          <xdr:spPr>
            <a:xfrm>
              <a:off x="13495835487" y="30116359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𝑥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79624</xdr:colOff>
      <xdr:row>140</xdr:row>
      <xdr:rowOff>74289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CBD9685D-DDD8-E15D-F44B-93B48DD75128}"/>
                </a:ext>
              </a:extLst>
            </xdr:cNvPr>
            <xdr:cNvSpPr txBox="1"/>
          </xdr:nvSpPr>
          <xdr:spPr>
            <a:xfrm>
              <a:off x="13494497808" y="28754791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200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CBD9685D-DDD8-E15D-F44B-93B48DD75128}"/>
                </a:ext>
              </a:extLst>
            </xdr:cNvPr>
            <xdr:cNvSpPr txBox="1"/>
          </xdr:nvSpPr>
          <xdr:spPr>
            <a:xfrm>
              <a:off x="13494497808" y="28754791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200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449875</xdr:colOff>
      <xdr:row>149</xdr:row>
      <xdr:rowOff>55736</xdr:rowOff>
    </xdr:from>
    <xdr:to>
      <xdr:col>7</xdr:col>
      <xdr:colOff>111473</xdr:colOff>
      <xdr:row>149</xdr:row>
      <xdr:rowOff>63699</xdr:rowOff>
    </xdr:to>
    <xdr:cxnSp macro="">
      <xdr:nvCxnSpPr>
        <xdr:cNvPr id="34" name="Straight Connector 33">
          <a:extLst>
            <a:ext uri="{FF2B5EF4-FFF2-40B4-BE49-F238E27FC236}">
              <a16:creationId xmlns:a16="http://schemas.microsoft.com/office/drawing/2014/main" id="{06AF6168-D954-C456-9215-90A18B11B714}"/>
            </a:ext>
          </a:extLst>
        </xdr:cNvPr>
        <xdr:cNvCxnSpPr/>
      </xdr:nvCxnSpPr>
      <xdr:spPr>
        <a:xfrm flipV="1">
          <a:off x="13496282038" y="30563604"/>
          <a:ext cx="1309811" cy="796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7</xdr:col>
      <xdr:colOff>102456</xdr:colOff>
      <xdr:row>143</xdr:row>
      <xdr:rowOff>175171</xdr:rowOff>
    </xdr:from>
    <xdr:to>
      <xdr:col>8</xdr:col>
      <xdr:colOff>429968</xdr:colOff>
      <xdr:row>149</xdr:row>
      <xdr:rowOff>56393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EC6A78BB-A478-0C0E-5F3F-61CE029052C5}"/>
            </a:ext>
          </a:extLst>
        </xdr:cNvPr>
        <xdr:cNvCxnSpPr/>
      </xdr:nvCxnSpPr>
      <xdr:spPr>
        <a:xfrm>
          <a:off x="13495139436" y="29464795"/>
          <a:ext cx="1151619" cy="1099466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103511</xdr:colOff>
      <xdr:row>146</xdr:row>
      <xdr:rowOff>103511</xdr:rowOff>
    </xdr:from>
    <xdr:to>
      <xdr:col>6</xdr:col>
      <xdr:colOff>107493</xdr:colOff>
      <xdr:row>149</xdr:row>
      <xdr:rowOff>23887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AAEE8374-6568-F773-3E8D-B4AE734B901A}"/>
            </a:ext>
          </a:extLst>
        </xdr:cNvPr>
        <xdr:cNvCxnSpPr/>
      </xdr:nvCxnSpPr>
      <xdr:spPr>
        <a:xfrm>
          <a:off x="13497110125" y="30002257"/>
          <a:ext cx="3982" cy="529498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712635</xdr:colOff>
      <xdr:row>147</xdr:row>
      <xdr:rowOff>90214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3F4B3EA7-B0E0-01B2-2354-9D6DD1FF535A}"/>
                </a:ext>
              </a:extLst>
            </xdr:cNvPr>
            <xdr:cNvSpPr txBox="1"/>
          </xdr:nvSpPr>
          <xdr:spPr>
            <a:xfrm>
              <a:off x="13497161224" y="30192001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𝑝𝑟𝑒𝑚𝑖𝑢𝑚</m:t>
                    </m:r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=15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3F4B3EA7-B0E0-01B2-2354-9D6DD1FF535A}"/>
                </a:ext>
              </a:extLst>
            </xdr:cNvPr>
            <xdr:cNvSpPr txBox="1"/>
          </xdr:nvSpPr>
          <xdr:spPr>
            <a:xfrm>
              <a:off x="13497161224" y="30192001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𝑝𝑟𝑒𝑚𝑖𝑢𝑚=15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91568</xdr:colOff>
      <xdr:row>148</xdr:row>
      <xdr:rowOff>169838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DD6CAE6A-22BF-2497-757B-595437D508C6}"/>
                </a:ext>
              </a:extLst>
            </xdr:cNvPr>
            <xdr:cNvSpPr txBox="1"/>
          </xdr:nvSpPr>
          <xdr:spPr>
            <a:xfrm>
              <a:off x="13494485864" y="30474666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−15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DD6CAE6A-22BF-2497-757B-595437D508C6}"/>
                </a:ext>
              </a:extLst>
            </xdr:cNvPr>
            <xdr:cNvSpPr txBox="1"/>
          </xdr:nvSpPr>
          <xdr:spPr>
            <a:xfrm>
              <a:off x="13494485864" y="30474666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−15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107493</xdr:colOff>
      <xdr:row>143</xdr:row>
      <xdr:rowOff>98177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C04CB67-67F4-BDFF-6DBC-AF00A5253F98}"/>
                </a:ext>
              </a:extLst>
            </xdr:cNvPr>
            <xdr:cNvSpPr txBox="1"/>
          </xdr:nvSpPr>
          <xdr:spPr>
            <a:xfrm>
              <a:off x="13494469939" y="29387801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185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C04CB67-67F4-BDFF-6DBC-AF00A5253F98}"/>
                </a:ext>
              </a:extLst>
            </xdr:cNvPr>
            <xdr:cNvSpPr txBox="1"/>
          </xdr:nvSpPr>
          <xdr:spPr>
            <a:xfrm>
              <a:off x="13494469939" y="29387801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185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808181</xdr:colOff>
      <xdr:row>140</xdr:row>
      <xdr:rowOff>199059</xdr:rowOff>
    </xdr:from>
    <xdr:to>
      <xdr:col>8</xdr:col>
      <xdr:colOff>812163</xdr:colOff>
      <xdr:row>143</xdr:row>
      <xdr:rowOff>119435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9DCA053A-3C0C-4D7E-3B3D-B77CC19B6BE4}"/>
            </a:ext>
          </a:extLst>
        </xdr:cNvPr>
        <xdr:cNvCxnSpPr/>
      </xdr:nvCxnSpPr>
      <xdr:spPr>
        <a:xfrm>
          <a:off x="13494757241" y="28879561"/>
          <a:ext cx="3982" cy="529498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820126</xdr:colOff>
      <xdr:row>141</xdr:row>
      <xdr:rowOff>165857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59B1D698-60DE-0454-5DB5-B37203B73821}"/>
                </a:ext>
              </a:extLst>
            </xdr:cNvPr>
            <xdr:cNvSpPr txBox="1"/>
          </xdr:nvSpPr>
          <xdr:spPr>
            <a:xfrm>
              <a:off x="13493757306" y="29049399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𝑝𝑟𝑒𝑚𝑖𝑢𝑚</m:t>
                    </m:r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=15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59B1D698-60DE-0454-5DB5-B37203B73821}"/>
                </a:ext>
              </a:extLst>
            </xdr:cNvPr>
            <xdr:cNvSpPr txBox="1"/>
          </xdr:nvSpPr>
          <xdr:spPr>
            <a:xfrm>
              <a:off x="13493757306" y="29049399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𝑝𝑟𝑒𝑚𝑖𝑢𝑚=15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286647</xdr:colOff>
      <xdr:row>146</xdr:row>
      <xdr:rowOff>78272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B67490FD-1C9A-8A68-CE13-200F692251D4}"/>
                </a:ext>
              </a:extLst>
            </xdr:cNvPr>
            <xdr:cNvSpPr txBox="1"/>
          </xdr:nvSpPr>
          <xdr:spPr>
            <a:xfrm>
              <a:off x="13495114892" y="29977018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185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B67490FD-1C9A-8A68-CE13-200F692251D4}"/>
                </a:ext>
              </a:extLst>
            </xdr:cNvPr>
            <xdr:cNvSpPr txBox="1"/>
          </xdr:nvSpPr>
          <xdr:spPr>
            <a:xfrm>
              <a:off x="13495114892" y="29977018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185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805961</xdr:colOff>
      <xdr:row>95</xdr:row>
      <xdr:rowOff>101182</xdr:rowOff>
    </xdr:from>
    <xdr:to>
      <xdr:col>7</xdr:col>
      <xdr:colOff>823406</xdr:colOff>
      <xdr:row>108</xdr:row>
      <xdr:rowOff>80247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E6503116-ED57-C9AD-1B9D-CC2A5DA67A49}"/>
            </a:ext>
          </a:extLst>
        </xdr:cNvPr>
        <xdr:cNvCxnSpPr/>
      </xdr:nvCxnSpPr>
      <xdr:spPr>
        <a:xfrm flipV="1">
          <a:off x="13542222830" y="19290742"/>
          <a:ext cx="17445" cy="2609780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631511</xdr:colOff>
      <xdr:row>102</xdr:row>
      <xdr:rowOff>104670</xdr:rowOff>
    </xdr:from>
    <xdr:to>
      <xdr:col>7</xdr:col>
      <xdr:colOff>1297912</xdr:colOff>
      <xdr:row>102</xdr:row>
      <xdr:rowOff>108160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5872AB9D-2CD0-E0E4-7AC4-DA6116BD3A5E}"/>
            </a:ext>
          </a:extLst>
        </xdr:cNvPr>
        <xdr:cNvCxnSpPr/>
      </xdr:nvCxnSpPr>
      <xdr:spPr>
        <a:xfrm flipV="1">
          <a:off x="13541748324" y="20913132"/>
          <a:ext cx="3286648" cy="3490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7</xdr:col>
      <xdr:colOff>258187</xdr:colOff>
      <xdr:row>94</xdr:row>
      <xdr:rowOff>81852</xdr:rowOff>
    </xdr:from>
    <xdr:ext cx="101214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253994C1-25B0-B456-212E-1F1EB36F70DA}"/>
                </a:ext>
              </a:extLst>
            </xdr:cNvPr>
            <xdr:cNvSpPr txBox="1"/>
          </xdr:nvSpPr>
          <xdr:spPr>
            <a:xfrm>
              <a:off x="13541775908" y="19069050"/>
              <a:ext cx="10121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253994C1-25B0-B456-212E-1F1EB36F70DA}"/>
                </a:ext>
              </a:extLst>
            </xdr:cNvPr>
            <xdr:cNvSpPr txBox="1"/>
          </xdr:nvSpPr>
          <xdr:spPr>
            <a:xfrm>
              <a:off x="13541775908" y="19069050"/>
              <a:ext cx="10121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0</xdr:colOff>
      <xdr:row>102</xdr:row>
      <xdr:rowOff>12072</xdr:rowOff>
    </xdr:from>
    <xdr:ext cx="101214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F0737665-54D8-E91C-76B3-63C8DC2872FE}"/>
                </a:ext>
              </a:extLst>
            </xdr:cNvPr>
            <xdr:cNvSpPr txBox="1"/>
          </xdr:nvSpPr>
          <xdr:spPr>
            <a:xfrm>
              <a:off x="13544654342" y="20820534"/>
              <a:ext cx="10121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F0737665-54D8-E91C-76B3-63C8DC2872FE}"/>
                </a:ext>
              </a:extLst>
            </xdr:cNvPr>
            <xdr:cNvSpPr txBox="1"/>
          </xdr:nvSpPr>
          <xdr:spPr>
            <a:xfrm>
              <a:off x="13544654342" y="20820534"/>
              <a:ext cx="10121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𝑠_𝑡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432637</xdr:colOff>
      <xdr:row>99</xdr:row>
      <xdr:rowOff>59313</xdr:rowOff>
    </xdr:from>
    <xdr:to>
      <xdr:col>7</xdr:col>
      <xdr:colOff>826895</xdr:colOff>
      <xdr:row>107</xdr:row>
      <xdr:rowOff>80247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1B9D424B-53DD-6B91-109F-E875CED78F11}"/>
            </a:ext>
          </a:extLst>
        </xdr:cNvPr>
        <xdr:cNvCxnSpPr/>
      </xdr:nvCxnSpPr>
      <xdr:spPr>
        <a:xfrm flipV="1">
          <a:off x="13542219341" y="20260687"/>
          <a:ext cx="1221154" cy="163983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882719</xdr:colOff>
      <xdr:row>99</xdr:row>
      <xdr:rowOff>69780</xdr:rowOff>
    </xdr:from>
    <xdr:to>
      <xdr:col>6</xdr:col>
      <xdr:colOff>443105</xdr:colOff>
      <xdr:row>107</xdr:row>
      <xdr:rowOff>59313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FB22B618-12B3-1BB6-3758-0BDD44B85A07}"/>
            </a:ext>
          </a:extLst>
        </xdr:cNvPr>
        <xdr:cNvCxnSpPr/>
      </xdr:nvCxnSpPr>
      <xdr:spPr>
        <a:xfrm flipH="1" flipV="1">
          <a:off x="13543430027" y="20271154"/>
          <a:ext cx="1353737" cy="1608434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666400</xdr:colOff>
      <xdr:row>98</xdr:row>
      <xdr:rowOff>176056</xdr:rowOff>
    </xdr:from>
    <xdr:ext cx="61439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03196595-5A20-BA94-D265-1C13ED9E3A3B}"/>
                </a:ext>
              </a:extLst>
            </xdr:cNvPr>
            <xdr:cNvSpPr txBox="1"/>
          </xdr:nvSpPr>
          <xdr:spPr>
            <a:xfrm>
              <a:off x="13541765442" y="20175067"/>
              <a:ext cx="61439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03196595-5A20-BA94-D265-1C13ED9E3A3B}"/>
                </a:ext>
              </a:extLst>
            </xdr:cNvPr>
            <xdr:cNvSpPr txBox="1"/>
          </xdr:nvSpPr>
          <xdr:spPr>
            <a:xfrm>
              <a:off x="13541765442" y="20175067"/>
              <a:ext cx="61439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111648</xdr:colOff>
      <xdr:row>102</xdr:row>
      <xdr:rowOff>144654</xdr:rowOff>
    </xdr:from>
    <xdr:ext cx="61439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5D1A1203-344B-D681-544D-DAEFFD3466C3}"/>
                </a:ext>
              </a:extLst>
            </xdr:cNvPr>
            <xdr:cNvSpPr txBox="1"/>
          </xdr:nvSpPr>
          <xdr:spPr>
            <a:xfrm>
              <a:off x="13543147090" y="20953116"/>
              <a:ext cx="61439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5D1A1203-344B-D681-544D-DAEFFD3466C3}"/>
                </a:ext>
              </a:extLst>
            </xdr:cNvPr>
            <xdr:cNvSpPr txBox="1"/>
          </xdr:nvSpPr>
          <xdr:spPr>
            <a:xfrm>
              <a:off x="13543147090" y="20953116"/>
              <a:ext cx="61439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328247</xdr:colOff>
      <xdr:row>144</xdr:row>
      <xdr:rowOff>27354</xdr:rowOff>
    </xdr:from>
    <xdr:ext cx="28024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0856A5D0-614D-0949-83E6-69D2AF165988}"/>
                </a:ext>
              </a:extLst>
            </xdr:cNvPr>
            <xdr:cNvSpPr txBox="1"/>
          </xdr:nvSpPr>
          <xdr:spPr>
            <a:xfrm>
              <a:off x="13518711731" y="32310754"/>
              <a:ext cx="28024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𝐿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𝐹𝑋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𝑝𝑟𝑒𝑚𝑖𝑢𝑚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0856A5D0-614D-0949-83E6-69D2AF165988}"/>
                </a:ext>
              </a:extLst>
            </xdr:cNvPr>
            <xdr:cNvSpPr txBox="1"/>
          </xdr:nvSpPr>
          <xdr:spPr>
            <a:xfrm>
              <a:off x="13518711731" y="32310754"/>
              <a:ext cx="28024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𝑃&amp;𝐿(𝐹𝑋)=−𝑝𝑟𝑒𝑚𝑖𝑢𝑚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636955</xdr:colOff>
      <xdr:row>147</xdr:row>
      <xdr:rowOff>58615</xdr:rowOff>
    </xdr:from>
    <xdr:ext cx="28024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31E2F52A-5E6A-5F44-9E71-E641601689FA}"/>
                </a:ext>
              </a:extLst>
            </xdr:cNvPr>
            <xdr:cNvSpPr txBox="1"/>
          </xdr:nvSpPr>
          <xdr:spPr>
            <a:xfrm>
              <a:off x="13519368223" y="32951615"/>
              <a:ext cx="28024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𝐿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𝐹𝑋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  <m:r>
                          <a:rPr lang="en-US" sz="1100" b="0" i="0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x</m:t>
                        </m:r>
                      </m:e>
                    </m:d>
                    <m:r>
                      <a:rPr lang="en-US" sz="1100" b="0" i="0">
                        <a:latin typeface="Cambria Math" panose="02040503050406030204" pitchFamily="18" charset="0"/>
                      </a:rPr>
                      <m:t>∗10,000−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premium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31E2F52A-5E6A-5F44-9E71-E641601689FA}"/>
                </a:ext>
              </a:extLst>
            </xdr:cNvPr>
            <xdr:cNvSpPr txBox="1"/>
          </xdr:nvSpPr>
          <xdr:spPr>
            <a:xfrm>
              <a:off x="13519368223" y="32951615"/>
              <a:ext cx="28024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𝑃&amp;𝐿(𝐹𝑋)=(𝑠𝑡−x)∗10,000−premium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136525</xdr:colOff>
      <xdr:row>27</xdr:row>
      <xdr:rowOff>180975</xdr:rowOff>
    </xdr:from>
    <xdr:to>
      <xdr:col>3</xdr:col>
      <xdr:colOff>130175</xdr:colOff>
      <xdr:row>30</xdr:row>
      <xdr:rowOff>53975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DB46D549-898D-8DB0-8405-8544281D46D4}"/>
            </a:ext>
          </a:extLst>
        </xdr:cNvPr>
        <xdr:cNvSpPr/>
      </xdr:nvSpPr>
      <xdr:spPr>
        <a:xfrm>
          <a:off x="13522385325" y="5464175"/>
          <a:ext cx="819150" cy="48260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/>
            <a:t>בנק המועלים</a:t>
          </a:r>
          <a:endParaRPr lang="en-US" sz="1100"/>
        </a:p>
      </xdr:txBody>
    </xdr:sp>
    <xdr:clientData/>
  </xdr:twoCellAnchor>
  <xdr:twoCellAnchor>
    <xdr:from>
      <xdr:col>5</xdr:col>
      <xdr:colOff>203200</xdr:colOff>
      <xdr:row>26</xdr:row>
      <xdr:rowOff>174625</xdr:rowOff>
    </xdr:from>
    <xdr:to>
      <xdr:col>6</xdr:col>
      <xdr:colOff>196850</xdr:colOff>
      <xdr:row>31</xdr:row>
      <xdr:rowOff>85725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B6050903-C740-3193-D010-402013CB0E92}"/>
            </a:ext>
          </a:extLst>
        </xdr:cNvPr>
        <xdr:cNvSpPr/>
      </xdr:nvSpPr>
      <xdr:spPr>
        <a:xfrm>
          <a:off x="13519842150" y="5254625"/>
          <a:ext cx="819150" cy="92710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חרטוטי פיננסים עולמי</a:t>
          </a:r>
          <a:endParaRPr lang="en-US" sz="1100"/>
        </a:p>
      </xdr:txBody>
    </xdr:sp>
    <xdr:clientData/>
  </xdr:twoCellAnchor>
  <xdr:twoCellAnchor>
    <xdr:from>
      <xdr:col>3</xdr:col>
      <xdr:colOff>136525</xdr:colOff>
      <xdr:row>28</xdr:row>
      <xdr:rowOff>66675</xdr:rowOff>
    </xdr:from>
    <xdr:to>
      <xdr:col>5</xdr:col>
      <xdr:colOff>193675</xdr:colOff>
      <xdr:row>28</xdr:row>
      <xdr:rowOff>73025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A826236F-1225-948F-5457-11E40DBB8DA0}"/>
            </a:ext>
          </a:extLst>
        </xdr:cNvPr>
        <xdr:cNvCxnSpPr/>
      </xdr:nvCxnSpPr>
      <xdr:spPr>
        <a:xfrm flipH="1" flipV="1">
          <a:off x="13520670825" y="5553075"/>
          <a:ext cx="1708150" cy="635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377825</xdr:colOff>
      <xdr:row>25</xdr:row>
      <xdr:rowOff>193675</xdr:rowOff>
    </xdr:from>
    <xdr:to>
      <xdr:col>4</xdr:col>
      <xdr:colOff>704850</xdr:colOff>
      <xdr:row>28</xdr:row>
      <xdr:rowOff>25400</xdr:rowOff>
    </xdr:to>
    <xdr:sp macro="" textlink="">
      <xdr:nvSpPr>
        <xdr:cNvPr id="9" name="Rounded Rectangle 8">
          <a:extLst>
            <a:ext uri="{FF2B5EF4-FFF2-40B4-BE49-F238E27FC236}">
              <a16:creationId xmlns:a16="http://schemas.microsoft.com/office/drawing/2014/main" id="{D91A9108-BCCD-E2E0-2C48-E2FABDE0825B}"/>
            </a:ext>
          </a:extLst>
        </xdr:cNvPr>
        <xdr:cNvSpPr/>
      </xdr:nvSpPr>
      <xdr:spPr>
        <a:xfrm>
          <a:off x="13520985150" y="5273675"/>
          <a:ext cx="1152525" cy="441325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900"/>
            <a:t>תזרימי ריבית משתנה</a:t>
          </a:r>
          <a:endParaRPr lang="en-US" sz="900"/>
        </a:p>
      </xdr:txBody>
    </xdr:sp>
    <xdr:clientData/>
  </xdr:twoCellAnchor>
  <xdr:twoCellAnchor>
    <xdr:from>
      <xdr:col>3</xdr:col>
      <xdr:colOff>177800</xdr:colOff>
      <xdr:row>29</xdr:row>
      <xdr:rowOff>88900</xdr:rowOff>
    </xdr:from>
    <xdr:to>
      <xdr:col>5</xdr:col>
      <xdr:colOff>196850</xdr:colOff>
      <xdr:row>29</xdr:row>
      <xdr:rowOff>111125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5DE0692E-E4E0-287F-85B2-A41CE6EF3685}"/>
            </a:ext>
          </a:extLst>
        </xdr:cNvPr>
        <xdr:cNvCxnSpPr/>
      </xdr:nvCxnSpPr>
      <xdr:spPr>
        <a:xfrm flipV="1">
          <a:off x="13520667650" y="5981700"/>
          <a:ext cx="1670050" cy="2222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374650</xdr:colOff>
      <xdr:row>29</xdr:row>
      <xdr:rowOff>155575</xdr:rowOff>
    </xdr:from>
    <xdr:to>
      <xdr:col>4</xdr:col>
      <xdr:colOff>701675</xdr:colOff>
      <xdr:row>31</xdr:row>
      <xdr:rowOff>190500</xdr:rowOff>
    </xdr:to>
    <xdr:sp macro="" textlink="">
      <xdr:nvSpPr>
        <xdr:cNvPr id="13" name="Rounded Rectangle 12">
          <a:extLst>
            <a:ext uri="{FF2B5EF4-FFF2-40B4-BE49-F238E27FC236}">
              <a16:creationId xmlns:a16="http://schemas.microsoft.com/office/drawing/2014/main" id="{87B5920E-2C15-D5BA-01C3-2E09D8E742D0}"/>
            </a:ext>
          </a:extLst>
        </xdr:cNvPr>
        <xdr:cNvSpPr/>
      </xdr:nvSpPr>
      <xdr:spPr>
        <a:xfrm>
          <a:off x="13520988325" y="6048375"/>
          <a:ext cx="1152525" cy="441325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900"/>
            <a:t>תזרימי ריבית קבועה</a:t>
          </a:r>
          <a:endParaRPr lang="en-US" sz="900"/>
        </a:p>
      </xdr:txBody>
    </xdr:sp>
    <xdr:clientData/>
  </xdr:twoCellAnchor>
  <xdr:twoCellAnchor>
    <xdr:from>
      <xdr:col>4</xdr:col>
      <xdr:colOff>768350</xdr:colOff>
      <xdr:row>79</xdr:row>
      <xdr:rowOff>139700</xdr:rowOff>
    </xdr:from>
    <xdr:to>
      <xdr:col>6</xdr:col>
      <xdr:colOff>107950</xdr:colOff>
      <xdr:row>81</xdr:row>
      <xdr:rowOff>69850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11A7D143-8930-5803-2707-EE4A817AEC7D}"/>
            </a:ext>
          </a:extLst>
        </xdr:cNvPr>
        <xdr:cNvCxnSpPr/>
      </xdr:nvCxnSpPr>
      <xdr:spPr>
        <a:xfrm flipV="1">
          <a:off x="13519931050" y="16294100"/>
          <a:ext cx="990600" cy="336550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130175</xdr:colOff>
      <xdr:row>79</xdr:row>
      <xdr:rowOff>107950</xdr:rowOff>
    </xdr:from>
    <xdr:to>
      <xdr:col>6</xdr:col>
      <xdr:colOff>130175</xdr:colOff>
      <xdr:row>80</xdr:row>
      <xdr:rowOff>104775</xdr:rowOff>
    </xdr:to>
    <xdr:sp macro="" textlink="">
      <xdr:nvSpPr>
        <xdr:cNvPr id="16" name="Rounded Rectangle 15">
          <a:extLst>
            <a:ext uri="{FF2B5EF4-FFF2-40B4-BE49-F238E27FC236}">
              <a16:creationId xmlns:a16="http://schemas.microsoft.com/office/drawing/2014/main" id="{87A37A4D-3715-0880-C380-EE11C57C8D2F}"/>
            </a:ext>
          </a:extLst>
        </xdr:cNvPr>
        <xdr:cNvSpPr/>
      </xdr:nvSpPr>
      <xdr:spPr>
        <a:xfrm rot="20425651">
          <a:off x="13519908825" y="16262350"/>
          <a:ext cx="825500" cy="200025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אין מימוש</a:t>
          </a:r>
          <a:endParaRPr lang="en-US" sz="1100"/>
        </a:p>
      </xdr:txBody>
    </xdr:sp>
    <xdr:clientData/>
  </xdr:twoCellAnchor>
  <xdr:twoCellAnchor>
    <xdr:from>
      <xdr:col>4</xdr:col>
      <xdr:colOff>755650</xdr:colOff>
      <xdr:row>81</xdr:row>
      <xdr:rowOff>73025</xdr:rowOff>
    </xdr:from>
    <xdr:to>
      <xdr:col>6</xdr:col>
      <xdr:colOff>111125</xdr:colOff>
      <xdr:row>83</xdr:row>
      <xdr:rowOff>38100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32002614-B39A-87E4-42F0-78CF4E5EA815}"/>
            </a:ext>
          </a:extLst>
        </xdr:cNvPr>
        <xdr:cNvCxnSpPr/>
      </xdr:nvCxnSpPr>
      <xdr:spPr>
        <a:xfrm>
          <a:off x="13519927875" y="16633825"/>
          <a:ext cx="1006475" cy="371475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136525</xdr:colOff>
      <xdr:row>82</xdr:row>
      <xdr:rowOff>50799</xdr:rowOff>
    </xdr:from>
    <xdr:to>
      <xdr:col>6</xdr:col>
      <xdr:colOff>136525</xdr:colOff>
      <xdr:row>83</xdr:row>
      <xdr:rowOff>47624</xdr:rowOff>
    </xdr:to>
    <xdr:sp macro="" textlink="">
      <xdr:nvSpPr>
        <xdr:cNvPr id="21" name="Rounded Rectangle 20">
          <a:extLst>
            <a:ext uri="{FF2B5EF4-FFF2-40B4-BE49-F238E27FC236}">
              <a16:creationId xmlns:a16="http://schemas.microsoft.com/office/drawing/2014/main" id="{F6861CA3-6E91-E5AA-5852-C2FBAC4A5155}"/>
            </a:ext>
          </a:extLst>
        </xdr:cNvPr>
        <xdr:cNvSpPr/>
      </xdr:nvSpPr>
      <xdr:spPr>
        <a:xfrm rot="1308323">
          <a:off x="13519902475" y="16814799"/>
          <a:ext cx="825500" cy="200025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יש מימוש</a:t>
          </a:r>
          <a:endParaRPr lang="en-US" sz="1100"/>
        </a:p>
      </xdr:txBody>
    </xdr:sp>
    <xdr:clientData/>
  </xdr:twoCellAnchor>
  <xdr:oneCellAnchor>
    <xdr:from>
      <xdr:col>3</xdr:col>
      <xdr:colOff>779396</xdr:colOff>
      <xdr:row>79</xdr:row>
      <xdr:rowOff>24704</xdr:rowOff>
    </xdr:from>
    <xdr:ext cx="84815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C72FEC51-FDBF-D17C-BC2E-9CFACE584823}"/>
                </a:ext>
              </a:extLst>
            </xdr:cNvPr>
            <xdr:cNvSpPr txBox="1"/>
          </xdr:nvSpPr>
          <xdr:spPr>
            <a:xfrm>
              <a:off x="13506638728" y="16078896"/>
              <a:ext cx="84815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C72FEC51-FDBF-D17C-BC2E-9CFACE584823}"/>
                </a:ext>
              </a:extLst>
            </xdr:cNvPr>
            <xdr:cNvSpPr txBox="1"/>
          </xdr:nvSpPr>
          <xdr:spPr>
            <a:xfrm>
              <a:off x="13506638728" y="16078896"/>
              <a:ext cx="84815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608904</xdr:colOff>
      <xdr:row>82</xdr:row>
      <xdr:rowOff>170841</xdr:rowOff>
    </xdr:from>
    <xdr:ext cx="285927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C160E1A1-8C10-6AE0-91DB-3C802A674EE9}"/>
                </a:ext>
              </a:extLst>
            </xdr:cNvPr>
            <xdr:cNvSpPr txBox="1"/>
          </xdr:nvSpPr>
          <xdr:spPr>
            <a:xfrm>
              <a:off x="13506447357" y="16830457"/>
              <a:ext cx="285927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4.5−4.37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∗10,000−1,000=300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C160E1A1-8C10-6AE0-91DB-3C802A674EE9}"/>
                </a:ext>
              </a:extLst>
            </xdr:cNvPr>
            <xdr:cNvSpPr txBox="1"/>
          </xdr:nvSpPr>
          <xdr:spPr>
            <a:xfrm>
              <a:off x="13506447357" y="16830457"/>
              <a:ext cx="285927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(4.5−4.37)∗10,000−1,000=300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361646</xdr:colOff>
      <xdr:row>79</xdr:row>
      <xdr:rowOff>160010</xdr:rowOff>
    </xdr:from>
    <xdr:to>
      <xdr:col>4</xdr:col>
      <xdr:colOff>361863</xdr:colOff>
      <xdr:row>80</xdr:row>
      <xdr:rowOff>86986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D935F441-F8E8-3CC9-677E-9EA3EB8EA60F}"/>
            </a:ext>
          </a:extLst>
        </xdr:cNvPr>
        <xdr:cNvCxnSpPr/>
      </xdr:nvCxnSpPr>
      <xdr:spPr>
        <a:xfrm flipH="1">
          <a:off x="13507079780" y="16214202"/>
          <a:ext cx="217" cy="128784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361863</xdr:colOff>
      <xdr:row>79</xdr:row>
      <xdr:rowOff>160010</xdr:rowOff>
    </xdr:from>
    <xdr:to>
      <xdr:col>4</xdr:col>
      <xdr:colOff>362080</xdr:colOff>
      <xdr:row>80</xdr:row>
      <xdr:rowOff>86986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5BC91913-BA6E-4943-A2CA-5096EE799515}"/>
            </a:ext>
          </a:extLst>
        </xdr:cNvPr>
        <xdr:cNvCxnSpPr/>
      </xdr:nvCxnSpPr>
      <xdr:spPr>
        <a:xfrm flipH="1">
          <a:off x="13507079563" y="16214202"/>
          <a:ext cx="217" cy="128784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553232</xdr:colOff>
      <xdr:row>83</xdr:row>
      <xdr:rowOff>142612</xdr:rowOff>
    </xdr:from>
    <xdr:to>
      <xdr:col>4</xdr:col>
      <xdr:colOff>553233</xdr:colOff>
      <xdr:row>84</xdr:row>
      <xdr:rowOff>153096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63C9E084-96B6-B16E-A144-87D1CA255EAB}"/>
            </a:ext>
          </a:extLst>
        </xdr:cNvPr>
        <xdr:cNvCxnSpPr/>
      </xdr:nvCxnSpPr>
      <xdr:spPr>
        <a:xfrm>
          <a:off x="13506888410" y="17004037"/>
          <a:ext cx="1" cy="212292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462767</xdr:colOff>
      <xdr:row>83</xdr:row>
      <xdr:rowOff>139133</xdr:rowOff>
    </xdr:from>
    <xdr:to>
      <xdr:col>4</xdr:col>
      <xdr:colOff>80028</xdr:colOff>
      <xdr:row>85</xdr:row>
      <xdr:rowOff>3480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F6D07712-DD31-52FC-00BD-E5FAEFB87505}"/>
            </a:ext>
          </a:extLst>
        </xdr:cNvPr>
        <xdr:cNvCxnSpPr/>
      </xdr:nvCxnSpPr>
      <xdr:spPr>
        <a:xfrm>
          <a:off x="13507361615" y="17000558"/>
          <a:ext cx="441892" cy="267963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153097</xdr:colOff>
      <xdr:row>81</xdr:row>
      <xdr:rowOff>177452</xdr:rowOff>
    </xdr:from>
    <xdr:to>
      <xdr:col>3</xdr:col>
      <xdr:colOff>483645</xdr:colOff>
      <xdr:row>82</xdr:row>
      <xdr:rowOff>187890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FEE3714C-22BB-9CCF-DC81-14F415F5C38F}"/>
            </a:ext>
          </a:extLst>
        </xdr:cNvPr>
        <xdr:cNvCxnSpPr/>
      </xdr:nvCxnSpPr>
      <xdr:spPr>
        <a:xfrm flipV="1">
          <a:off x="13507782629" y="16635260"/>
          <a:ext cx="330548" cy="212246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400136</xdr:colOff>
      <xdr:row>83</xdr:row>
      <xdr:rowOff>163533</xdr:rowOff>
    </xdr:from>
    <xdr:to>
      <xdr:col>2</xdr:col>
      <xdr:colOff>664576</xdr:colOff>
      <xdr:row>84</xdr:row>
      <xdr:rowOff>121781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918225EA-A026-26CF-C98B-FE0C96752B09}"/>
            </a:ext>
          </a:extLst>
        </xdr:cNvPr>
        <xdr:cNvCxnSpPr/>
      </xdr:nvCxnSpPr>
      <xdr:spPr>
        <a:xfrm>
          <a:off x="13508426328" y="17024958"/>
          <a:ext cx="264440" cy="160056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480164</xdr:colOff>
      <xdr:row>78</xdr:row>
      <xdr:rowOff>139178</xdr:rowOff>
    </xdr:from>
    <xdr:to>
      <xdr:col>1</xdr:col>
      <xdr:colOff>688931</xdr:colOff>
      <xdr:row>86</xdr:row>
      <xdr:rowOff>13918</xdr:rowOff>
    </xdr:to>
    <xdr:sp macro="" textlink="">
      <xdr:nvSpPr>
        <xdr:cNvPr id="38" name="Right Brace 37">
          <a:extLst>
            <a:ext uri="{FF2B5EF4-FFF2-40B4-BE49-F238E27FC236}">
              <a16:creationId xmlns:a16="http://schemas.microsoft.com/office/drawing/2014/main" id="{29239C87-8A8F-1CFF-FDC1-38D88D17DBDA}"/>
            </a:ext>
          </a:extLst>
        </xdr:cNvPr>
        <xdr:cNvSpPr/>
      </xdr:nvSpPr>
      <xdr:spPr>
        <a:xfrm>
          <a:off x="13509226603" y="15991562"/>
          <a:ext cx="208767" cy="1489205"/>
        </a:xfrm>
        <a:prstGeom prst="rightBrac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118301</xdr:colOff>
      <xdr:row>90</xdr:row>
      <xdr:rowOff>73417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05EA615B-0AB1-2541-9EBE-0C858B448F7B}"/>
                </a:ext>
              </a:extLst>
            </xdr:cNvPr>
            <xdr:cNvSpPr txBox="1"/>
          </xdr:nvSpPr>
          <xdr:spPr>
            <a:xfrm>
              <a:off x="13503796015" y="18347499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)∗10,000−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05EA615B-0AB1-2541-9EBE-0C858B448F7B}"/>
                </a:ext>
              </a:extLst>
            </xdr:cNvPr>
            <xdr:cNvSpPr txBox="1"/>
          </xdr:nvSpPr>
          <xdr:spPr>
            <a:xfrm>
              <a:off x="13503796015" y="18347499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(𝑈𝑆𝐷)=𝑚𝑎𝑥{█(−𝑝𝑟𝑒𝑚𝑖𝑢𝑚@&amp;(𝑠𝑡−𝑥)∗10,000−𝑝𝑟𝑒𝑚𝑖𝑢𝑚)┤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66110</xdr:colOff>
      <xdr:row>96</xdr:row>
      <xdr:rowOff>56020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66C638C-9B87-0712-4141-143A0E1A341E}"/>
                </a:ext>
              </a:extLst>
            </xdr:cNvPr>
            <xdr:cNvSpPr txBox="1"/>
          </xdr:nvSpPr>
          <xdr:spPr>
            <a:xfrm>
              <a:off x="13503848206" y="19540952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𝑃𝑈𝑇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d>
                              <m:d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d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𝑥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−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𝑠𝑡</m:t>
                                </m:r>
                              </m:e>
                            </m:d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∗10,000−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66C638C-9B87-0712-4141-143A0E1A341E}"/>
                </a:ext>
              </a:extLst>
            </xdr:cNvPr>
            <xdr:cNvSpPr txBox="1"/>
          </xdr:nvSpPr>
          <xdr:spPr>
            <a:xfrm>
              <a:off x="13503848206" y="19540952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𝑃&amp;𝐿_𝑃𝑈𝑇^𝐿𝑂𝑁𝐺 (𝑈𝑆𝐷)=𝑚𝑎𝑥{█(−𝑝𝑟𝑒𝑚𝑖𝑢𝑚@(𝑥−𝑠𝑡)∗10,000−𝑝𝑟𝑒𝑚𝑖𝑢𝑚)┤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629780</xdr:colOff>
      <xdr:row>102</xdr:row>
      <xdr:rowOff>129088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54181B41-B542-A88D-A3A4-34DCB839912E}"/>
                </a:ext>
              </a:extLst>
            </xdr:cNvPr>
            <xdr:cNvSpPr txBox="1"/>
          </xdr:nvSpPr>
          <xdr:spPr>
            <a:xfrm>
              <a:off x="13503284536" y="20824869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𝑀𝑒𝑛𝑎𝑦𝑎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54181B41-B542-A88D-A3A4-34DCB839912E}"/>
                </a:ext>
              </a:extLst>
            </xdr:cNvPr>
            <xdr:cNvSpPr txBox="1"/>
          </xdr:nvSpPr>
          <xdr:spPr>
            <a:xfrm>
              <a:off x="13503284536" y="20824869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</a:t>
              </a:r>
              <a:r>
                <a:rPr lang="he-IL" sz="1100" b="0" i="0">
                  <a:latin typeface="Cambria Math" panose="02040503050406030204" pitchFamily="18" charset="0"/>
                </a:rPr>
                <a:t>𝑀𝑒𝑛𝑎𝑦𝑎</a:t>
              </a:r>
              <a:r>
                <a:rPr lang="en-US" sz="1100" b="0" i="0">
                  <a:latin typeface="Cambria Math" panose="02040503050406030204" pitchFamily="18" charset="0"/>
                </a:rPr>
                <a:t>)=𝑚𝑎𝑥{█(−𝑝𝑟𝑒𝑚𝑖𝑢𝑚@&amp;(𝑠𝑡−𝑥)∗</a:t>
              </a:r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r>
                <a:rPr lang="en-US" sz="1100" b="0" i="0">
                  <a:latin typeface="Cambria Math" panose="02040503050406030204" pitchFamily="18" charset="0"/>
                </a:rPr>
                <a:t>−𝑝𝑟𝑒𝑚𝑖𝑢𝑚)┤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114822</xdr:colOff>
      <xdr:row>102</xdr:row>
      <xdr:rowOff>153446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AC6ED861-DCF5-A787-A95D-457340DCFFE3}"/>
                </a:ext>
              </a:extLst>
            </xdr:cNvPr>
            <xdr:cNvSpPr txBox="1"/>
          </xdr:nvSpPr>
          <xdr:spPr>
            <a:xfrm>
              <a:off x="13507098015" y="20849227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𝑃𝑈𝑇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𝑀𝑒𝑛𝑎𝑦𝑎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d>
                              <m:d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d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𝑥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−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𝑠𝑡</m:t>
                                </m:r>
                              </m:e>
                            </m:d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∗100−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AC6ED861-DCF5-A787-A95D-457340DCFFE3}"/>
                </a:ext>
              </a:extLst>
            </xdr:cNvPr>
            <xdr:cNvSpPr txBox="1"/>
          </xdr:nvSpPr>
          <xdr:spPr>
            <a:xfrm>
              <a:off x="13507098015" y="20849227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𝑃&amp;𝐿_𝑃𝑈𝑇^𝐿𝑂𝑁𝐺 (𝑀𝑒𝑛𝑎𝑦𝑎)=𝑚𝑎𝑥{█(−𝑝𝑟𝑒𝑚𝑖𝑢𝑚@(𝑥−𝑠𝑡)∗100−𝑝𝑟𝑒𝑚𝑖𝑢𝑚)┤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264439</xdr:colOff>
      <xdr:row>112</xdr:row>
      <xdr:rowOff>80027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47050359-E102-474C-A34B-960C90E628DE}"/>
                </a:ext>
              </a:extLst>
            </xdr:cNvPr>
            <xdr:cNvSpPr txBox="1"/>
          </xdr:nvSpPr>
          <xdr:spPr>
            <a:xfrm>
              <a:off x="13503649877" y="22793890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)∗10,000−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47050359-E102-474C-A34B-960C90E628DE}"/>
                </a:ext>
              </a:extLst>
            </xdr:cNvPr>
            <xdr:cNvSpPr txBox="1"/>
          </xdr:nvSpPr>
          <xdr:spPr>
            <a:xfrm>
              <a:off x="13503649877" y="22793890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(𝑈𝑆𝐷)=𝑚𝑎𝑥{█(−𝑝𝑟𝑒𝑚𝑖𝑢𝑚@&amp;(𝑠𝑡−𝑥)∗10,000−𝑝𝑟𝑒𝑚𝑖𝑢𝑚)┤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459287</xdr:colOff>
      <xdr:row>114</xdr:row>
      <xdr:rowOff>114822</xdr:rowOff>
    </xdr:from>
    <xdr:to>
      <xdr:col>5</xdr:col>
      <xdr:colOff>563671</xdr:colOff>
      <xdr:row>115</xdr:row>
      <xdr:rowOff>187890</xdr:rowOff>
    </xdr:to>
    <xdr:sp macro="" textlink="">
      <xdr:nvSpPr>
        <xdr:cNvPr id="45" name="Down Arrow 44">
          <a:extLst>
            <a:ext uri="{FF2B5EF4-FFF2-40B4-BE49-F238E27FC236}">
              <a16:creationId xmlns:a16="http://schemas.microsoft.com/office/drawing/2014/main" id="{E7DA28AE-C7E0-69B2-153F-5275EE577618}"/>
            </a:ext>
          </a:extLst>
        </xdr:cNvPr>
        <xdr:cNvSpPr/>
      </xdr:nvSpPr>
      <xdr:spPr>
        <a:xfrm>
          <a:off x="13506053342" y="23232301"/>
          <a:ext cx="104384" cy="274877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208767</xdr:colOff>
      <xdr:row>116</xdr:row>
      <xdr:rowOff>149615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D75DA4EB-B279-055D-EAE3-B77AABEB3A70}"/>
                </a:ext>
              </a:extLst>
            </xdr:cNvPr>
            <xdr:cNvSpPr txBox="1"/>
          </xdr:nvSpPr>
          <xdr:spPr>
            <a:xfrm>
              <a:off x="13503705549" y="23670711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)∗10,000−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D75DA4EB-B279-055D-EAE3-B77AABEB3A70}"/>
                </a:ext>
              </a:extLst>
            </xdr:cNvPr>
            <xdr:cNvSpPr txBox="1"/>
          </xdr:nvSpPr>
          <xdr:spPr>
            <a:xfrm>
              <a:off x="13503705549" y="23670711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(𝑈𝑆𝐷)=𝑚𝑎𝑥{█(−𝑝𝑟𝑒𝑚𝑖𝑢𝑚@&amp;(𝑠𝑡−𝑥)∗10,000−𝑝𝑟𝑒𝑚𝑖𝑢𝑚)┤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20876</xdr:colOff>
      <xdr:row>116</xdr:row>
      <xdr:rowOff>107863</xdr:rowOff>
    </xdr:from>
    <xdr:to>
      <xdr:col>5</xdr:col>
      <xdr:colOff>807232</xdr:colOff>
      <xdr:row>117</xdr:row>
      <xdr:rowOff>149617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8C6FCEBA-B184-114A-0545-AFE26564292C}"/>
            </a:ext>
          </a:extLst>
        </xdr:cNvPr>
        <xdr:cNvCxnSpPr/>
      </xdr:nvCxnSpPr>
      <xdr:spPr>
        <a:xfrm>
          <a:off x="13505809781" y="23628959"/>
          <a:ext cx="786356" cy="24356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772437</xdr:colOff>
      <xdr:row>116</xdr:row>
      <xdr:rowOff>173973</xdr:rowOff>
    </xdr:from>
    <xdr:to>
      <xdr:col>5</xdr:col>
      <xdr:colOff>786355</xdr:colOff>
      <xdr:row>117</xdr:row>
      <xdr:rowOff>121781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2C343CB6-595A-E043-99E6-A8E6F1F79F49}"/>
            </a:ext>
          </a:extLst>
        </xdr:cNvPr>
        <xdr:cNvCxnSpPr/>
      </xdr:nvCxnSpPr>
      <xdr:spPr>
        <a:xfrm flipV="1">
          <a:off x="13505830658" y="23695069"/>
          <a:ext cx="838548" cy="14961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400136</xdr:colOff>
      <xdr:row>118</xdr:row>
      <xdr:rowOff>173973</xdr:rowOff>
    </xdr:from>
    <xdr:to>
      <xdr:col>5</xdr:col>
      <xdr:colOff>504520</xdr:colOff>
      <xdr:row>120</xdr:row>
      <xdr:rowOff>45233</xdr:rowOff>
    </xdr:to>
    <xdr:sp macro="" textlink="">
      <xdr:nvSpPr>
        <xdr:cNvPr id="51" name="Down Arrow 50">
          <a:extLst>
            <a:ext uri="{FF2B5EF4-FFF2-40B4-BE49-F238E27FC236}">
              <a16:creationId xmlns:a16="http://schemas.microsoft.com/office/drawing/2014/main" id="{BA639219-3066-7CF7-6510-0B7C56B1604B}"/>
            </a:ext>
          </a:extLst>
        </xdr:cNvPr>
        <xdr:cNvSpPr/>
      </xdr:nvSpPr>
      <xdr:spPr>
        <a:xfrm>
          <a:off x="13506112493" y="24098685"/>
          <a:ext cx="104384" cy="274877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762000</xdr:colOff>
      <xdr:row>121</xdr:row>
      <xdr:rowOff>163881</xdr:rowOff>
    </xdr:from>
    <xdr:ext cx="2361710" cy="32771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0550B898-CADA-AEF8-0925-CBC9FC76C838}"/>
                </a:ext>
              </a:extLst>
            </xdr:cNvPr>
            <xdr:cNvSpPr txBox="1"/>
          </xdr:nvSpPr>
          <xdr:spPr>
            <a:xfrm>
              <a:off x="13505142564" y="24694018"/>
              <a:ext cx="2361710" cy="32771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d>
                          <m:dPr>
                            <m:begChr m:val="["/>
                            <m:endChr m:val="]"/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d>
                              <m:d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d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𝑠𝑡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−4.13</m:t>
                                </m:r>
                              </m:e>
                            </m:d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∗10,000−800</m:t>
                            </m:r>
                          </m:e>
                        </m:d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800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=25%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0550B898-CADA-AEF8-0925-CBC9FC76C838}"/>
                </a:ext>
              </a:extLst>
            </xdr:cNvPr>
            <xdr:cNvSpPr txBox="1"/>
          </xdr:nvSpPr>
          <xdr:spPr>
            <a:xfrm>
              <a:off x="13505142564" y="24694018"/>
              <a:ext cx="2361710" cy="32771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[(𝑠𝑡−</a:t>
              </a:r>
              <a:r>
                <a:rPr lang="he-IL" sz="1100" b="0" i="0">
                  <a:latin typeface="Cambria Math" panose="02040503050406030204" pitchFamily="18" charset="0"/>
                </a:rPr>
                <a:t>4.13</a:t>
              </a:r>
              <a:r>
                <a:rPr lang="en-US" sz="1100" b="0" i="0">
                  <a:latin typeface="Cambria Math" panose="02040503050406030204" pitchFamily="18" charset="0"/>
                </a:rPr>
                <a:t>)∗10,000−800]/800=25%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417534</xdr:colOff>
      <xdr:row>124</xdr:row>
      <xdr:rowOff>160400</xdr:rowOff>
    </xdr:from>
    <xdr:ext cx="3127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ED654BB1-BFAA-2C81-CAF9-8144A8E79008}"/>
                </a:ext>
              </a:extLst>
            </xdr:cNvPr>
            <xdr:cNvSpPr txBox="1"/>
          </xdr:nvSpPr>
          <xdr:spPr>
            <a:xfrm>
              <a:off x="13504721550" y="25295962"/>
              <a:ext cx="3127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−4.13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∗10,000−800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=25%∗800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ED654BB1-BFAA-2C81-CAF9-8144A8E79008}"/>
                </a:ext>
              </a:extLst>
            </xdr:cNvPr>
            <xdr:cNvSpPr txBox="1"/>
          </xdr:nvSpPr>
          <xdr:spPr>
            <a:xfrm>
              <a:off x="13504721550" y="25295962"/>
              <a:ext cx="3127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(𝑠𝑡−4.13)∗10,000−800</a:t>
              </a:r>
              <a:r>
                <a:rPr lang="he-IL" sz="1100" b="0" i="0">
                  <a:latin typeface="Cambria Math" panose="02040503050406030204" pitchFamily="18" charset="0"/>
                </a:rPr>
                <a:t>=25%∗800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400137</xdr:colOff>
      <xdr:row>126</xdr:row>
      <xdr:rowOff>80375</xdr:rowOff>
    </xdr:from>
    <xdr:ext cx="3127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09CB0E67-5802-93F0-42B6-82946516BF9C}"/>
                </a:ext>
              </a:extLst>
            </xdr:cNvPr>
            <xdr:cNvSpPr txBox="1"/>
          </xdr:nvSpPr>
          <xdr:spPr>
            <a:xfrm>
              <a:off x="13504738947" y="25619553"/>
              <a:ext cx="3127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−4.13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09CB0E67-5802-93F0-42B6-82946516BF9C}"/>
                </a:ext>
              </a:extLst>
            </xdr:cNvPr>
            <xdr:cNvSpPr txBox="1"/>
          </xdr:nvSpPr>
          <xdr:spPr>
            <a:xfrm>
              <a:off x="13504738947" y="25619553"/>
              <a:ext cx="3127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(𝑠𝑡−4.13)∗10,000</a:t>
              </a:r>
              <a:r>
                <a:rPr lang="he-IL" sz="1100" b="0" i="0">
                  <a:latin typeface="Cambria Math" panose="02040503050406030204" pitchFamily="18" charset="0"/>
                </a:rPr>
                <a:t>=1,000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434931</xdr:colOff>
      <xdr:row>127</xdr:row>
      <xdr:rowOff>188238</xdr:rowOff>
    </xdr:from>
    <xdr:ext cx="3127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A85B1281-D988-E143-C790-62352A15A7D3}"/>
                </a:ext>
              </a:extLst>
            </xdr:cNvPr>
            <xdr:cNvSpPr txBox="1"/>
          </xdr:nvSpPr>
          <xdr:spPr>
            <a:xfrm>
              <a:off x="13504704153" y="25929224"/>
              <a:ext cx="3127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=4.23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A85B1281-D988-E143-C790-62352A15A7D3}"/>
                </a:ext>
              </a:extLst>
            </xdr:cNvPr>
            <xdr:cNvSpPr txBox="1"/>
          </xdr:nvSpPr>
          <xdr:spPr>
            <a:xfrm>
              <a:off x="13504704153" y="25929224"/>
              <a:ext cx="3127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𝑠𝑡=4.23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644150</xdr:colOff>
      <xdr:row>11</xdr:row>
      <xdr:rowOff>3659</xdr:rowOff>
    </xdr:from>
    <xdr:to>
      <xdr:col>8</xdr:col>
      <xdr:colOff>29279</xdr:colOff>
      <xdr:row>12</xdr:row>
      <xdr:rowOff>190316</xdr:rowOff>
    </xdr:to>
    <xdr:sp macro="" textlink="">
      <xdr:nvSpPr>
        <xdr:cNvPr id="2" name="Right Brace 1">
          <a:extLst>
            <a:ext uri="{FF2B5EF4-FFF2-40B4-BE49-F238E27FC236}">
              <a16:creationId xmlns:a16="http://schemas.microsoft.com/office/drawing/2014/main" id="{7950F585-6F78-5EC8-AEC1-A528FE6A1017}"/>
            </a:ext>
          </a:extLst>
        </xdr:cNvPr>
        <xdr:cNvSpPr/>
      </xdr:nvSpPr>
      <xdr:spPr>
        <a:xfrm rot="10800000">
          <a:off x="13545329568" y="2302103"/>
          <a:ext cx="212276" cy="391614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226916</xdr:colOff>
      <xdr:row>13</xdr:row>
      <xdr:rowOff>36598</xdr:rowOff>
    </xdr:from>
    <xdr:to>
      <xdr:col>8</xdr:col>
      <xdr:colOff>428213</xdr:colOff>
      <xdr:row>16</xdr:row>
      <xdr:rowOff>47578</xdr:rowOff>
    </xdr:to>
    <xdr:sp macro="" textlink="">
      <xdr:nvSpPr>
        <xdr:cNvPr id="3" name="Right Brace 2">
          <a:extLst>
            <a:ext uri="{FF2B5EF4-FFF2-40B4-BE49-F238E27FC236}">
              <a16:creationId xmlns:a16="http://schemas.microsoft.com/office/drawing/2014/main" id="{C0C39C32-3161-943D-36D8-2656D9C5E88B}"/>
            </a:ext>
          </a:extLst>
        </xdr:cNvPr>
        <xdr:cNvSpPr/>
      </xdr:nvSpPr>
      <xdr:spPr>
        <a:xfrm rot="10800000">
          <a:off x="13544930634" y="2744955"/>
          <a:ext cx="201297" cy="625851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457493</xdr:colOff>
      <xdr:row>28</xdr:row>
      <xdr:rowOff>153717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1F8A4C60-172D-8B44-B8E5-48BDC6161FEB}"/>
                </a:ext>
              </a:extLst>
            </xdr:cNvPr>
            <xdr:cNvSpPr txBox="1"/>
          </xdr:nvSpPr>
          <xdr:spPr>
            <a:xfrm>
              <a:off x="13545509762" y="5958386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)∗10,000−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1F8A4C60-172D-8B44-B8E5-48BDC6161FEB}"/>
                </a:ext>
              </a:extLst>
            </xdr:cNvPr>
            <xdr:cNvSpPr txBox="1"/>
          </xdr:nvSpPr>
          <xdr:spPr>
            <a:xfrm>
              <a:off x="13545509762" y="5958386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(𝑈𝑆𝐷)=𝑚𝑎𝑥{█(−𝑝𝑟𝑒𝑚𝑖𝑢𝑚@&amp;(𝑠𝑡−𝑥)∗10,000−𝑝𝑟𝑒𝑚𝑖𝑢𝑚)┤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581931</xdr:colOff>
      <xdr:row>31</xdr:row>
      <xdr:rowOff>109798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99DA038B-3F6C-B604-3A12-982C8BCEA7C5}"/>
                </a:ext>
              </a:extLst>
            </xdr:cNvPr>
            <xdr:cNvSpPr txBox="1"/>
          </xdr:nvSpPr>
          <xdr:spPr>
            <a:xfrm>
              <a:off x="13545385324" y="6529337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800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4.4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4.2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)∗10,000−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800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99DA038B-3F6C-B604-3A12-982C8BCEA7C5}"/>
                </a:ext>
              </a:extLst>
            </xdr:cNvPr>
            <xdr:cNvSpPr txBox="1"/>
          </xdr:nvSpPr>
          <xdr:spPr>
            <a:xfrm>
              <a:off x="13545385324" y="6529337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(𝑈𝑆𝐷)=𝑚𝑎𝑥{█(−</a:t>
              </a:r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r>
                <a:rPr lang="en-US" sz="1100" b="0" i="0">
                  <a:latin typeface="Cambria Math" panose="02040503050406030204" pitchFamily="18" charset="0"/>
                </a:rPr>
                <a:t>@&amp;(</a:t>
              </a:r>
              <a:r>
                <a:rPr lang="he-IL" sz="1100" b="0" i="0">
                  <a:latin typeface="Cambria Math" panose="02040503050406030204" pitchFamily="18" charset="0"/>
                </a:rPr>
                <a:t>4.4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4.2</a:t>
              </a:r>
              <a:r>
                <a:rPr lang="en-US" sz="1100" b="0" i="0">
                  <a:latin typeface="Cambria Math" panose="02040503050406030204" pitchFamily="18" charset="0"/>
                </a:rPr>
                <a:t>)∗10,000−</a:t>
              </a:r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r>
                <a:rPr lang="en-US" sz="1100" b="0" i="0">
                  <a:latin typeface="Cambria Math" panose="02040503050406030204" pitchFamily="18" charset="0"/>
                </a:rPr>
                <a:t>)┤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3</xdr:col>
      <xdr:colOff>157377</xdr:colOff>
      <xdr:row>31</xdr:row>
      <xdr:rowOff>140204</xdr:rowOff>
    </xdr:from>
    <xdr:to>
      <xdr:col>3</xdr:col>
      <xdr:colOff>651433</xdr:colOff>
      <xdr:row>33</xdr:row>
      <xdr:rowOff>148338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C81170E-F3BE-34D5-2607-F6B3EA11E8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48843149" y="6559743"/>
          <a:ext cx="494056" cy="418047"/>
        </a:xfrm>
        <a:prstGeom prst="rect">
          <a:avLst/>
        </a:prstGeom>
      </xdr:spPr>
    </xdr:pic>
    <xdr:clientData/>
  </xdr:twoCellAnchor>
  <xdr:oneCellAnchor>
    <xdr:from>
      <xdr:col>3</xdr:col>
      <xdr:colOff>651470</xdr:colOff>
      <xdr:row>43</xdr:row>
      <xdr:rowOff>193976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E781A0A3-2E01-DF48-F898-5C8E615C03E7}"/>
                </a:ext>
              </a:extLst>
            </xdr:cNvPr>
            <xdr:cNvSpPr txBox="1"/>
          </xdr:nvSpPr>
          <xdr:spPr>
            <a:xfrm>
              <a:off x="13545315785" y="9072996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𝐺𝐵𝑃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)∗10,000−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E781A0A3-2E01-DF48-F898-5C8E615C03E7}"/>
                </a:ext>
              </a:extLst>
            </xdr:cNvPr>
            <xdr:cNvSpPr txBox="1"/>
          </xdr:nvSpPr>
          <xdr:spPr>
            <a:xfrm>
              <a:off x="13545315785" y="9072996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(𝐺𝐵𝑃)=𝑚𝑎𝑥{█(−𝑝𝑟𝑒𝑚𝑖𝑢𝑚@&amp;(𝑠𝑡−𝑥)∗10,000−𝑝𝑟𝑒𝑚𝑖𝑢𝑚)┤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600231</xdr:colOff>
      <xdr:row>47</xdr:row>
      <xdr:rowOff>106138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9AA4B1E-4B3E-98D5-9DA1-51A96B1960EB}"/>
                </a:ext>
              </a:extLst>
            </xdr:cNvPr>
            <xdr:cNvSpPr txBox="1"/>
          </xdr:nvSpPr>
          <xdr:spPr>
            <a:xfrm>
              <a:off x="13545367024" y="9804985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𝐺𝐵𝑃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−1,000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−5.4)∗10,000−1,000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9AA4B1E-4B3E-98D5-9DA1-51A96B1960EB}"/>
                </a:ext>
              </a:extLst>
            </xdr:cNvPr>
            <xdr:cNvSpPr txBox="1"/>
          </xdr:nvSpPr>
          <xdr:spPr>
            <a:xfrm>
              <a:off x="13545367024" y="9804985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(𝐺𝐵𝑃)=𝑚𝑎𝑥{█(−1,000@&amp;(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𝑠𝑡</a:t>
              </a:r>
              <a:r>
                <a:rPr lang="en-US" sz="1100" b="0" i="0">
                  <a:latin typeface="Cambria Math" panose="02040503050406030204" pitchFamily="18" charset="0"/>
                </a:rPr>
                <a:t>−5.4)∗10,000−1,000)┤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7</xdr:col>
      <xdr:colOff>726131</xdr:colOff>
      <xdr:row>47</xdr:row>
      <xdr:rowOff>69538</xdr:rowOff>
    </xdr:from>
    <xdr:to>
      <xdr:col>8</xdr:col>
      <xdr:colOff>591373</xdr:colOff>
      <xdr:row>50</xdr:row>
      <xdr:rowOff>31658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A5392B6-466E-1614-D276-7787DA9197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44767474" y="9768385"/>
          <a:ext cx="692389" cy="576991"/>
        </a:xfrm>
        <a:prstGeom prst="rect">
          <a:avLst/>
        </a:prstGeom>
      </xdr:spPr>
    </xdr:pic>
    <xdr:clientData/>
  </xdr:twoCellAnchor>
  <xdr:twoCellAnchor>
    <xdr:from>
      <xdr:col>8</xdr:col>
      <xdr:colOff>629509</xdr:colOff>
      <xdr:row>44</xdr:row>
      <xdr:rowOff>182996</xdr:rowOff>
    </xdr:from>
    <xdr:to>
      <xdr:col>10</xdr:col>
      <xdr:colOff>336714</xdr:colOff>
      <xdr:row>48</xdr:row>
      <xdr:rowOff>190317</xdr:rowOff>
    </xdr:to>
    <xdr:sp macro="" textlink="">
      <xdr:nvSpPr>
        <xdr:cNvPr id="10" name="Rounded Rectangular Callout 9">
          <a:extLst>
            <a:ext uri="{FF2B5EF4-FFF2-40B4-BE49-F238E27FC236}">
              <a16:creationId xmlns:a16="http://schemas.microsoft.com/office/drawing/2014/main" id="{8F3A217E-49AA-93C8-6715-0E6F32756FDD}"/>
            </a:ext>
          </a:extLst>
        </xdr:cNvPr>
        <xdr:cNvSpPr/>
      </xdr:nvSpPr>
      <xdr:spPr>
        <a:xfrm>
          <a:off x="13543367839" y="9266973"/>
          <a:ext cx="1361499" cy="827148"/>
        </a:xfrm>
        <a:prstGeom prst="wedgeRoundRectCallout">
          <a:avLst>
            <a:gd name="adj1" fmla="val 60350"/>
            <a:gd name="adj2" fmla="val 39296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מסלול אי-מימוש לא יאפשר למשקיע להגיע ליעד: רווח 400</a:t>
          </a:r>
          <a:endParaRPr lang="en-US" sz="1100"/>
        </a:p>
      </xdr:txBody>
    </xdr:sp>
    <xdr:clientData/>
  </xdr:twoCellAnchor>
  <xdr:twoCellAnchor>
    <xdr:from>
      <xdr:col>4</xdr:col>
      <xdr:colOff>289135</xdr:colOff>
      <xdr:row>47</xdr:row>
      <xdr:rowOff>98819</xdr:rowOff>
    </xdr:from>
    <xdr:to>
      <xdr:col>4</xdr:col>
      <xdr:colOff>442853</xdr:colOff>
      <xdr:row>48</xdr:row>
      <xdr:rowOff>76859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86D637E1-6621-1B67-75A1-224C66B5AA0C}"/>
            </a:ext>
          </a:extLst>
        </xdr:cNvPr>
        <xdr:cNvCxnSpPr/>
      </xdr:nvCxnSpPr>
      <xdr:spPr>
        <a:xfrm>
          <a:off x="13548224582" y="9797666"/>
          <a:ext cx="153718" cy="18299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256196</xdr:colOff>
      <xdr:row>47</xdr:row>
      <xdr:rowOff>142739</xdr:rowOff>
    </xdr:from>
    <xdr:to>
      <xdr:col>4</xdr:col>
      <xdr:colOff>457493</xdr:colOff>
      <xdr:row>48</xdr:row>
      <xdr:rowOff>73199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949AC948-3820-2BC6-D46B-A23621DB4B96}"/>
            </a:ext>
          </a:extLst>
        </xdr:cNvPr>
        <xdr:cNvCxnSpPr/>
      </xdr:nvCxnSpPr>
      <xdr:spPr>
        <a:xfrm flipV="1">
          <a:off x="13548209942" y="9841586"/>
          <a:ext cx="201297" cy="13541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596570</xdr:colOff>
      <xdr:row>48</xdr:row>
      <xdr:rowOff>51239</xdr:rowOff>
    </xdr:from>
    <xdr:to>
      <xdr:col>3</xdr:col>
      <xdr:colOff>680750</xdr:colOff>
      <xdr:row>49</xdr:row>
      <xdr:rowOff>62219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711D44BE-C322-B4DA-07EF-FE91DDDFAEA6}"/>
            </a:ext>
          </a:extLst>
        </xdr:cNvPr>
        <xdr:cNvCxnSpPr/>
      </xdr:nvCxnSpPr>
      <xdr:spPr>
        <a:xfrm flipV="1">
          <a:off x="13548813832" y="9955043"/>
          <a:ext cx="84180" cy="21593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684409</xdr:colOff>
      <xdr:row>48</xdr:row>
      <xdr:rowOff>179337</xdr:rowOff>
    </xdr:from>
    <xdr:to>
      <xdr:col>3</xdr:col>
      <xdr:colOff>713689</xdr:colOff>
      <xdr:row>49</xdr:row>
      <xdr:rowOff>51240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9B2BF323-B15A-1201-0444-8CEC2D56CB56}"/>
            </a:ext>
          </a:extLst>
        </xdr:cNvPr>
        <xdr:cNvCxnSpPr/>
      </xdr:nvCxnSpPr>
      <xdr:spPr>
        <a:xfrm>
          <a:off x="13548780893" y="10083141"/>
          <a:ext cx="29280" cy="7686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808847</xdr:colOff>
      <xdr:row>61</xdr:row>
      <xdr:rowOff>182997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5A5131B6-851B-4840-9574-CDBAC84AC706}"/>
                </a:ext>
              </a:extLst>
            </xdr:cNvPr>
            <xdr:cNvSpPr txBox="1"/>
          </xdr:nvSpPr>
          <xdr:spPr>
            <a:xfrm>
              <a:off x="13545158408" y="12751239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)∗10,000−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5A5131B6-851B-4840-9574-CDBAC84AC706}"/>
                </a:ext>
              </a:extLst>
            </xdr:cNvPr>
            <xdr:cNvSpPr txBox="1"/>
          </xdr:nvSpPr>
          <xdr:spPr>
            <a:xfrm>
              <a:off x="13545158408" y="12751239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(𝑈𝑆𝐷)=𝑚𝑎𝑥{█(−𝑝𝑟𝑒𝑚𝑖𝑢𝑚@&amp;(𝑠𝑡−𝑥)∗10,000−𝑝𝑟𝑒𝑚𝑖𝑢𝑚)┤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54898</xdr:colOff>
      <xdr:row>69</xdr:row>
      <xdr:rowOff>51240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7222900C-5080-8289-2F25-F1194876D88E}"/>
                </a:ext>
              </a:extLst>
            </xdr:cNvPr>
            <xdr:cNvSpPr txBox="1"/>
          </xdr:nvSpPr>
          <xdr:spPr>
            <a:xfrm>
              <a:off x="13545085210" y="14281096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)∗10,000−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7222900C-5080-8289-2F25-F1194876D88E}"/>
                </a:ext>
              </a:extLst>
            </xdr:cNvPr>
            <xdr:cNvSpPr txBox="1"/>
          </xdr:nvSpPr>
          <xdr:spPr>
            <a:xfrm>
              <a:off x="13545085210" y="14281096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(𝑈𝑆𝐷)=𝑚𝑎𝑥{█(−𝑝𝑟𝑒𝑚𝑖𝑢𝑚@&amp;(𝑠𝑡−𝑥)∗10,000−𝑝𝑟𝑒𝑚𝑖𝑢𝑚)┤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775908</xdr:colOff>
      <xdr:row>71</xdr:row>
      <xdr:rowOff>73199</xdr:rowOff>
    </xdr:from>
    <xdr:to>
      <xdr:col>7</xdr:col>
      <xdr:colOff>73199</xdr:colOff>
      <xdr:row>72</xdr:row>
      <xdr:rowOff>117118</xdr:rowOff>
    </xdr:to>
    <xdr:sp macro="" textlink="">
      <xdr:nvSpPr>
        <xdr:cNvPr id="22" name="Down Arrow 21">
          <a:extLst>
            <a:ext uri="{FF2B5EF4-FFF2-40B4-BE49-F238E27FC236}">
              <a16:creationId xmlns:a16="http://schemas.microsoft.com/office/drawing/2014/main" id="{EB23C502-5934-D51A-BA99-832BAB8E673E}"/>
            </a:ext>
          </a:extLst>
        </xdr:cNvPr>
        <xdr:cNvSpPr/>
      </xdr:nvSpPr>
      <xdr:spPr>
        <a:xfrm>
          <a:off x="13546939942" y="14486052"/>
          <a:ext cx="124438" cy="248876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644149</xdr:colOff>
      <xdr:row>73</xdr:row>
      <xdr:rowOff>3660</xdr:rowOff>
    </xdr:from>
    <xdr:ext cx="3527327" cy="18011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928EE405-2D7B-4F38-21D7-BA0DABAD7F15}"/>
                </a:ext>
              </a:extLst>
            </xdr:cNvPr>
            <xdr:cNvSpPr txBox="1"/>
          </xdr:nvSpPr>
          <xdr:spPr>
            <a:xfrm>
              <a:off x="13545323106" y="14826427"/>
              <a:ext cx="3527327" cy="1801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𝑆𝐻𝑂𝑅𝑇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928EE405-2D7B-4F38-21D7-BA0DABAD7F15}"/>
                </a:ext>
              </a:extLst>
            </xdr:cNvPr>
            <xdr:cNvSpPr txBox="1"/>
          </xdr:nvSpPr>
          <xdr:spPr>
            <a:xfrm>
              <a:off x="13545323106" y="14826427"/>
              <a:ext cx="3527327" cy="1801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𝑃&amp;𝐿_𝐶𝐴𝐿𝐿^𝑆𝐻𝑂𝑅𝑇 (𝑈𝑆𝐷)=−𝑃&amp;𝐿_𝐶𝐴𝐿𝐿^𝐿𝑂𝑁𝐺 (𝑈𝑆𝐷)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124438</xdr:colOff>
      <xdr:row>69</xdr:row>
      <xdr:rowOff>18301</xdr:rowOff>
    </xdr:from>
    <xdr:ext cx="33598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B70F9748-7E13-6DF0-88BD-7917032A3687}"/>
                </a:ext>
              </a:extLst>
            </xdr:cNvPr>
            <xdr:cNvSpPr txBox="1"/>
          </xdr:nvSpPr>
          <xdr:spPr>
            <a:xfrm>
              <a:off x="13548491758" y="14248157"/>
              <a:ext cx="33598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𝑆𝐻𝑂𝑅𝑇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𝑚𝑖𝑛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d>
                              <m:d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d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𝑥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−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𝑠𝑡</m:t>
                                </m:r>
                              </m:e>
                            </m:d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∗10,000+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B70F9748-7E13-6DF0-88BD-7917032A3687}"/>
                </a:ext>
              </a:extLst>
            </xdr:cNvPr>
            <xdr:cNvSpPr txBox="1"/>
          </xdr:nvSpPr>
          <xdr:spPr>
            <a:xfrm>
              <a:off x="13548491758" y="14248157"/>
              <a:ext cx="33598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𝑃&amp;𝐿_𝐶𝐴𝐿𝐿^𝑆𝐻𝑂𝑅𝑇 (𝑈𝑆𝐷)=𝑚𝑖𝑛{█(+𝑝𝑟𝑒𝑚𝑖𝑢𝑚@(𝑥−𝑠𝑡)∗10,000+𝑝𝑟𝑒𝑚𝑖𝑢𝑚)┤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629510</xdr:colOff>
      <xdr:row>74</xdr:row>
      <xdr:rowOff>16762</xdr:rowOff>
    </xdr:from>
    <xdr:ext cx="192801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2FE37AEC-6AAB-4571-7BC9-AC6B42F32B9F}"/>
                </a:ext>
              </a:extLst>
            </xdr:cNvPr>
            <xdr:cNvSpPr txBox="1"/>
          </xdr:nvSpPr>
          <xdr:spPr>
            <a:xfrm>
              <a:off x="13549418501" y="15271402"/>
              <a:ext cx="19280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𝑥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2FE37AEC-6AAB-4571-7BC9-AC6B42F32B9F}"/>
                </a:ext>
              </a:extLst>
            </xdr:cNvPr>
            <xdr:cNvSpPr txBox="1"/>
          </xdr:nvSpPr>
          <xdr:spPr>
            <a:xfrm>
              <a:off x="13549418501" y="15271402"/>
              <a:ext cx="19280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(𝑥−𝑠𝑡)∗10,000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753948</xdr:colOff>
      <xdr:row>74</xdr:row>
      <xdr:rowOff>18299</xdr:rowOff>
    </xdr:from>
    <xdr:to>
      <xdr:col>7</xdr:col>
      <xdr:colOff>51239</xdr:colOff>
      <xdr:row>78</xdr:row>
      <xdr:rowOff>135418</xdr:rowOff>
    </xdr:to>
    <xdr:sp macro="" textlink="">
      <xdr:nvSpPr>
        <xdr:cNvPr id="26" name="Down Arrow 25">
          <a:extLst>
            <a:ext uri="{FF2B5EF4-FFF2-40B4-BE49-F238E27FC236}">
              <a16:creationId xmlns:a16="http://schemas.microsoft.com/office/drawing/2014/main" id="{2F58B9C5-8843-4C1D-39E6-772A7AE1E1DB}"/>
            </a:ext>
          </a:extLst>
        </xdr:cNvPr>
        <xdr:cNvSpPr/>
      </xdr:nvSpPr>
      <xdr:spPr>
        <a:xfrm>
          <a:off x="13546134755" y="15272939"/>
          <a:ext cx="124438" cy="936946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816167</xdr:colOff>
      <xdr:row>78</xdr:row>
      <xdr:rowOff>98818</xdr:rowOff>
    </xdr:from>
    <xdr:ext cx="7084792" cy="31874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5A66E5C8-4B59-0269-1D22-FE4CDF41F76A}"/>
                </a:ext>
              </a:extLst>
            </xdr:cNvPr>
            <xdr:cNvSpPr txBox="1"/>
          </xdr:nvSpPr>
          <xdr:spPr>
            <a:xfrm>
              <a:off x="13543247917" y="16173285"/>
              <a:ext cx="7084792" cy="31874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5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𝑆𝐻𝑂𝑅𝑇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−15,000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→</m:t>
                    </m:r>
                    <m:r>
                      <a:rPr lang="en-US" sz="1100" b="0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−</m:t>
                    </m:r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5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𝑈𝑆𝐷</m:t>
                        </m:r>
                      </m:e>
                    </m:d>
                    <m:r>
                      <a:rPr lang="he-IL" sz="1100" b="0" i="0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−5∗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1,000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−4.1)∗10,000−1,000</m:t>
                            </m:r>
                          </m:e>
                        </m:eqAr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=−15,000</m:t>
                        </m: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5A66E5C8-4B59-0269-1D22-FE4CDF41F76A}"/>
                </a:ext>
              </a:extLst>
            </xdr:cNvPr>
            <xdr:cNvSpPr txBox="1"/>
          </xdr:nvSpPr>
          <xdr:spPr>
            <a:xfrm>
              <a:off x="13543247917" y="16173285"/>
              <a:ext cx="7084792" cy="31874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5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𝑃&amp;𝐿_𝐶𝐴𝐿𝐿^𝑆𝐻𝑂𝑅𝑇 (𝑈𝑆𝐷)=</a:t>
              </a:r>
              <a:r>
                <a:rPr lang="he-IL" sz="1100" b="0" i="0">
                  <a:latin typeface="Cambria Math" panose="02040503050406030204" pitchFamily="18" charset="0"/>
                </a:rPr>
                <a:t>−15,000→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5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(𝑈𝑆𝐷)</a:t>
              </a:r>
              <a:r>
                <a:rPr lang="he-IL" sz="1100" b="0" i="0">
                  <a:latin typeface="Cambria Math" panose="02040503050406030204" pitchFamily="18" charset="0"/>
                </a:rPr>
                <a:t>=−5∗</a:t>
              </a:r>
              <a:r>
                <a:rPr lang="en-US" sz="1100" b="0" i="0">
                  <a:latin typeface="Cambria Math" panose="02040503050406030204" pitchFamily="18" charset="0"/>
                </a:rPr>
                <a:t>𝑚𝑎𝑥{█(−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@&amp;(𝑠𝑡−</a:t>
              </a:r>
              <a:r>
                <a:rPr lang="he-IL" sz="1100" b="0" i="0">
                  <a:latin typeface="Cambria Math" panose="02040503050406030204" pitchFamily="18" charset="0"/>
                </a:rPr>
                <a:t>4.1</a:t>
              </a:r>
              <a:r>
                <a:rPr lang="en-US" sz="1100" b="0" i="0">
                  <a:latin typeface="Cambria Math" panose="02040503050406030204" pitchFamily="18" charset="0"/>
                </a:rPr>
                <a:t>)∗10,000−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=−15,000</a:t>
              </a:r>
              <a:r>
                <a:rPr lang="en-US" sz="1100" b="0" i="0">
                  <a:latin typeface="Cambria Math" panose="02040503050406030204" pitchFamily="18" charset="0"/>
                </a:rPr>
                <a:t>┤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773075</xdr:colOff>
      <xdr:row>79</xdr:row>
      <xdr:rowOff>108052</xdr:rowOff>
    </xdr:from>
    <xdr:to>
      <xdr:col>10</xdr:col>
      <xdr:colOff>235063</xdr:colOff>
      <xdr:row>80</xdr:row>
      <xdr:rowOff>73283</xdr:rowOff>
    </xdr:to>
    <xdr:sp macro="" textlink="">
      <xdr:nvSpPr>
        <xdr:cNvPr id="28" name="Right Brace 27">
          <a:extLst>
            <a:ext uri="{FF2B5EF4-FFF2-40B4-BE49-F238E27FC236}">
              <a16:creationId xmlns:a16="http://schemas.microsoft.com/office/drawing/2014/main" id="{FF124DEF-310B-36B5-9428-90EF6FF4FD3E}"/>
            </a:ext>
          </a:extLst>
        </xdr:cNvPr>
        <xdr:cNvSpPr/>
      </xdr:nvSpPr>
      <xdr:spPr>
        <a:xfrm rot="5400000">
          <a:off x="13532032301" y="15417223"/>
          <a:ext cx="169147" cy="1941171"/>
        </a:xfrm>
        <a:prstGeom prst="rightBrac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175678</xdr:colOff>
      <xdr:row>79</xdr:row>
      <xdr:rowOff>162870</xdr:rowOff>
    </xdr:from>
    <xdr:to>
      <xdr:col>7</xdr:col>
      <xdr:colOff>655130</xdr:colOff>
      <xdr:row>80</xdr:row>
      <xdr:rowOff>164698</xdr:rowOff>
    </xdr:to>
    <xdr:sp macro="" textlink="">
      <xdr:nvSpPr>
        <xdr:cNvPr id="29" name="Right Brace 28">
          <a:extLst>
            <a:ext uri="{FF2B5EF4-FFF2-40B4-BE49-F238E27FC236}">
              <a16:creationId xmlns:a16="http://schemas.microsoft.com/office/drawing/2014/main" id="{D518B38B-338F-92FB-86FF-32CD327FF5E9}"/>
            </a:ext>
          </a:extLst>
        </xdr:cNvPr>
        <xdr:cNvSpPr/>
      </xdr:nvSpPr>
      <xdr:spPr>
        <a:xfrm rot="5400000">
          <a:off x="13547735066" y="14238092"/>
          <a:ext cx="206784" cy="4615187"/>
        </a:xfrm>
        <a:prstGeom prst="rightBrac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387954</xdr:colOff>
      <xdr:row>85</xdr:row>
      <xdr:rowOff>153718</xdr:rowOff>
    </xdr:from>
    <xdr:ext cx="7084792" cy="31874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F3F90935-B045-359F-1A9A-2252FD06D886}"/>
                </a:ext>
              </a:extLst>
            </xdr:cNvPr>
            <xdr:cNvSpPr txBox="1"/>
          </xdr:nvSpPr>
          <xdr:spPr>
            <a:xfrm>
              <a:off x="13542848983" y="17662882"/>
              <a:ext cx="7084792" cy="31874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−5∗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1,000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−4.1)∗10,000−1,000</m:t>
                            </m:r>
                          </m:e>
                        </m:eqAr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=−15,000</m:t>
                        </m: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F3F90935-B045-359F-1A9A-2252FD06D886}"/>
                </a:ext>
              </a:extLst>
            </xdr:cNvPr>
            <xdr:cNvSpPr txBox="1"/>
          </xdr:nvSpPr>
          <xdr:spPr>
            <a:xfrm>
              <a:off x="13542848983" y="17662882"/>
              <a:ext cx="7084792" cy="31874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−5∗</a:t>
              </a:r>
              <a:r>
                <a:rPr lang="en-US" sz="1100" b="0" i="0">
                  <a:latin typeface="Cambria Math" panose="02040503050406030204" pitchFamily="18" charset="0"/>
                </a:rPr>
                <a:t>𝑚𝑎𝑥{█(−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@&amp;(𝑠𝑡−</a:t>
              </a:r>
              <a:r>
                <a:rPr lang="he-IL" sz="1100" b="0" i="0">
                  <a:latin typeface="Cambria Math" panose="02040503050406030204" pitchFamily="18" charset="0"/>
                </a:rPr>
                <a:t>4.1</a:t>
              </a:r>
              <a:r>
                <a:rPr lang="en-US" sz="1100" b="0" i="0">
                  <a:latin typeface="Cambria Math" panose="02040503050406030204" pitchFamily="18" charset="0"/>
                </a:rPr>
                <a:t>)∗10,000−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=−15,000</a:t>
              </a:r>
              <a:r>
                <a:rPr lang="en-US" sz="1100" b="0" i="0">
                  <a:latin typeface="Cambria Math" panose="02040503050406030204" pitchFamily="18" charset="0"/>
                </a:rPr>
                <a:t>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296455</xdr:colOff>
      <xdr:row>89</xdr:row>
      <xdr:rowOff>36601</xdr:rowOff>
    </xdr:from>
    <xdr:ext cx="7084792" cy="31874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3A91CEE3-DDA8-033A-1105-6FEB2A681EE5}"/>
                </a:ext>
              </a:extLst>
            </xdr:cNvPr>
            <xdr:cNvSpPr txBox="1"/>
          </xdr:nvSpPr>
          <xdr:spPr>
            <a:xfrm>
              <a:off x="13542940482" y="18365592"/>
              <a:ext cx="7084792" cy="31874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1,000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−4.1)∗10,000−1,000</m:t>
                            </m:r>
                          </m:e>
                        </m:eqAr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=3,000</m:t>
                        </m: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3A91CEE3-DDA8-033A-1105-6FEB2A681EE5}"/>
                </a:ext>
              </a:extLst>
            </xdr:cNvPr>
            <xdr:cNvSpPr txBox="1"/>
          </xdr:nvSpPr>
          <xdr:spPr>
            <a:xfrm>
              <a:off x="13542940482" y="18365592"/>
              <a:ext cx="7084792" cy="31874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𝑚𝑎𝑥{█(−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@&amp;(𝑠𝑡−</a:t>
              </a:r>
              <a:r>
                <a:rPr lang="he-IL" sz="1100" b="0" i="0">
                  <a:latin typeface="Cambria Math" panose="02040503050406030204" pitchFamily="18" charset="0"/>
                </a:rPr>
                <a:t>4.1</a:t>
              </a:r>
              <a:r>
                <a:rPr lang="en-US" sz="1100" b="0" i="0">
                  <a:latin typeface="Cambria Math" panose="02040503050406030204" pitchFamily="18" charset="0"/>
                </a:rPr>
                <a:t>)∗10,000−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=3,000</a:t>
              </a:r>
              <a:r>
                <a:rPr lang="en-US" sz="1100" b="0" i="0">
                  <a:latin typeface="Cambria Math" panose="02040503050406030204" pitchFamily="18" charset="0"/>
                </a:rPr>
                <a:t>┤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596570</xdr:colOff>
      <xdr:row>89</xdr:row>
      <xdr:rowOff>150058</xdr:rowOff>
    </xdr:from>
    <xdr:to>
      <xdr:col>7</xdr:col>
      <xdr:colOff>691729</xdr:colOff>
      <xdr:row>90</xdr:row>
      <xdr:rowOff>204956</xdr:rowOff>
    </xdr:to>
    <xdr:grpSp>
      <xdr:nvGrpSpPr>
        <xdr:cNvPr id="37" name="Group 36">
          <a:extLst>
            <a:ext uri="{FF2B5EF4-FFF2-40B4-BE49-F238E27FC236}">
              <a16:creationId xmlns:a16="http://schemas.microsoft.com/office/drawing/2014/main" id="{F1D7415C-C62C-521D-4D0B-3E7813F9DA1A}"/>
            </a:ext>
          </a:extLst>
        </xdr:cNvPr>
        <xdr:cNvGrpSpPr/>
      </xdr:nvGrpSpPr>
      <xdr:grpSpPr>
        <a:xfrm>
          <a:off x="13481527875" y="18140888"/>
          <a:ext cx="95159" cy="255689"/>
          <a:chOff x="13547964726" y="18537608"/>
          <a:chExt cx="157378" cy="409913"/>
        </a:xfrm>
      </xdr:grpSpPr>
      <xdr:cxnSp macro="">
        <xdr:nvCxnSpPr>
          <xdr:cNvPr id="34" name="Straight Connector 33">
            <a:extLst>
              <a:ext uri="{FF2B5EF4-FFF2-40B4-BE49-F238E27FC236}">
                <a16:creationId xmlns:a16="http://schemas.microsoft.com/office/drawing/2014/main" id="{8A61E8C4-F647-A169-D3B7-F6FA3EF4EF6D}"/>
              </a:ext>
            </a:extLst>
          </xdr:cNvPr>
          <xdr:cNvCxnSpPr/>
        </xdr:nvCxnSpPr>
        <xdr:spPr>
          <a:xfrm>
            <a:off x="13547964726" y="18812103"/>
            <a:ext cx="51239" cy="135418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35" name="Straight Connector 34">
            <a:extLst>
              <a:ext uri="{FF2B5EF4-FFF2-40B4-BE49-F238E27FC236}">
                <a16:creationId xmlns:a16="http://schemas.microsoft.com/office/drawing/2014/main" id="{D5C57CCC-32D7-9F70-6D94-7CFCEC46ABBB}"/>
              </a:ext>
            </a:extLst>
          </xdr:cNvPr>
          <xdr:cNvCxnSpPr/>
        </xdr:nvCxnSpPr>
        <xdr:spPr>
          <a:xfrm flipH="1">
            <a:off x="13548008645" y="18537608"/>
            <a:ext cx="113459" cy="409913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</xdr:grpSp>
    <xdr:clientData/>
  </xdr:twoCellAnchor>
  <xdr:oneCellAnchor>
    <xdr:from>
      <xdr:col>2</xdr:col>
      <xdr:colOff>336714</xdr:colOff>
      <xdr:row>92</xdr:row>
      <xdr:rowOff>106139</xdr:rowOff>
    </xdr:from>
    <xdr:ext cx="708479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11C42528-37EE-D99F-DC8E-FF40EEAF7719}"/>
                </a:ext>
              </a:extLst>
            </xdr:cNvPr>
            <xdr:cNvSpPr txBox="1"/>
          </xdr:nvSpPr>
          <xdr:spPr>
            <a:xfrm>
              <a:off x="13542900223" y="19050001"/>
              <a:ext cx="708479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−4.1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∗10,000−1,000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=3,000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11C42528-37EE-D99F-DC8E-FF40EEAF7719}"/>
                </a:ext>
              </a:extLst>
            </xdr:cNvPr>
            <xdr:cNvSpPr txBox="1"/>
          </xdr:nvSpPr>
          <xdr:spPr>
            <a:xfrm>
              <a:off x="13542900223" y="19050001"/>
              <a:ext cx="708479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𝑠𝑡−4.1)∗10,000−1,000</a:t>
              </a:r>
              <a:r>
                <a:rPr lang="he-IL" sz="1100" b="0" i="0">
                  <a:latin typeface="Cambria Math" panose="02040503050406030204" pitchFamily="18" charset="0"/>
                </a:rPr>
                <a:t>=3,000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351354</xdr:colOff>
      <xdr:row>93</xdr:row>
      <xdr:rowOff>128100</xdr:rowOff>
    </xdr:from>
    <xdr:ext cx="708479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EB1C885E-DC1B-B25F-D973-7E56756FA966}"/>
                </a:ext>
              </a:extLst>
            </xdr:cNvPr>
            <xdr:cNvSpPr txBox="1"/>
          </xdr:nvSpPr>
          <xdr:spPr>
            <a:xfrm>
              <a:off x="13542885583" y="19276918"/>
              <a:ext cx="708479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−4.1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∗10,000=4,000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EB1C885E-DC1B-B25F-D973-7E56756FA966}"/>
                </a:ext>
              </a:extLst>
            </xdr:cNvPr>
            <xdr:cNvSpPr txBox="1"/>
          </xdr:nvSpPr>
          <xdr:spPr>
            <a:xfrm>
              <a:off x="13542885583" y="19276918"/>
              <a:ext cx="708479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𝑠𝑡−4.1)∗10,000=4,000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365994</xdr:colOff>
      <xdr:row>94</xdr:row>
      <xdr:rowOff>153720</xdr:rowOff>
    </xdr:from>
    <xdr:ext cx="708479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C9D203C5-26B6-B9CC-B65B-1A58CBF5BECA}"/>
                </a:ext>
              </a:extLst>
            </xdr:cNvPr>
            <xdr:cNvSpPr txBox="1"/>
          </xdr:nvSpPr>
          <xdr:spPr>
            <a:xfrm>
              <a:off x="13542870943" y="19507495"/>
              <a:ext cx="708479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−4.1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=0.4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C9D203C5-26B6-B9CC-B65B-1A58CBF5BECA}"/>
                </a:ext>
              </a:extLst>
            </xdr:cNvPr>
            <xdr:cNvSpPr txBox="1"/>
          </xdr:nvSpPr>
          <xdr:spPr>
            <a:xfrm>
              <a:off x="13542870943" y="19507495"/>
              <a:ext cx="708479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𝑠𝑡−4.1)=0.4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387953</xdr:colOff>
      <xdr:row>96</xdr:row>
      <xdr:rowOff>36601</xdr:rowOff>
    </xdr:from>
    <xdr:ext cx="708479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A5CEE7B-8022-2A79-5DEC-D8128FD91766}"/>
                </a:ext>
              </a:extLst>
            </xdr:cNvPr>
            <xdr:cNvSpPr txBox="1"/>
          </xdr:nvSpPr>
          <xdr:spPr>
            <a:xfrm>
              <a:off x="13542848984" y="19800290"/>
              <a:ext cx="708479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=4.5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A5CEE7B-8022-2A79-5DEC-D8128FD91766}"/>
                </a:ext>
              </a:extLst>
            </xdr:cNvPr>
            <xdr:cNvSpPr txBox="1"/>
          </xdr:nvSpPr>
          <xdr:spPr>
            <a:xfrm>
              <a:off x="13542848984" y="19800290"/>
              <a:ext cx="708479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𝑠𝑡=4.5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751268</xdr:colOff>
      <xdr:row>78</xdr:row>
      <xdr:rowOff>89847</xdr:rowOff>
    </xdr:from>
    <xdr:to>
      <xdr:col>1</xdr:col>
      <xdr:colOff>22619</xdr:colOff>
      <xdr:row>99</xdr:row>
      <xdr:rowOff>135943</xdr:rowOff>
    </xdr:to>
    <xdr:sp macro="" textlink="">
      <xdr:nvSpPr>
        <xdr:cNvPr id="42" name="Down Arrow 41">
          <a:extLst>
            <a:ext uri="{FF2B5EF4-FFF2-40B4-BE49-F238E27FC236}">
              <a16:creationId xmlns:a16="http://schemas.microsoft.com/office/drawing/2014/main" id="{FB2FC426-0D7A-9323-CA02-BC80A3AE3BAA}"/>
            </a:ext>
          </a:extLst>
        </xdr:cNvPr>
        <xdr:cNvSpPr/>
      </xdr:nvSpPr>
      <xdr:spPr>
        <a:xfrm>
          <a:off x="13538796283" y="16081115"/>
          <a:ext cx="97745" cy="4328321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153831</xdr:colOff>
      <xdr:row>101</xdr:row>
      <xdr:rowOff>186029</xdr:rowOff>
    </xdr:from>
    <xdr:ext cx="33598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126A313B-1BCB-6143-A0E7-10B438223CA9}"/>
                </a:ext>
              </a:extLst>
            </xdr:cNvPr>
            <xdr:cNvSpPr txBox="1"/>
          </xdr:nvSpPr>
          <xdr:spPr>
            <a:xfrm>
              <a:off x="13536131638" y="20867353"/>
              <a:ext cx="33598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𝑆𝐻𝑂𝑅𝑇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𝑚𝑖𝑛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d>
                              <m:d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d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𝑥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−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𝑠𝑡</m:t>
                                </m:r>
                              </m:e>
                            </m:d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∗10,000+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126A313B-1BCB-6143-A0E7-10B438223CA9}"/>
                </a:ext>
              </a:extLst>
            </xdr:cNvPr>
            <xdr:cNvSpPr txBox="1"/>
          </xdr:nvSpPr>
          <xdr:spPr>
            <a:xfrm>
              <a:off x="13536131638" y="20867353"/>
              <a:ext cx="33598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𝑃&amp;𝐿_𝐶𝐴𝐿𝐿^𝑆𝐻𝑂𝑅𝑇 (𝑈𝑆𝐷)=𝑚𝑖𝑛{█(+𝑝𝑟𝑒𝑚𝑖𝑢𝑚@(𝑥−𝑠𝑡)∗10,000+𝑝𝑟𝑒𝑚𝑖𝑢𝑚)┤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132366</xdr:colOff>
      <xdr:row>104</xdr:row>
      <xdr:rowOff>67974</xdr:rowOff>
    </xdr:from>
    <xdr:ext cx="33598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61BC0C6B-8D3E-5937-862A-270904D0647A}"/>
                </a:ext>
              </a:extLst>
            </xdr:cNvPr>
            <xdr:cNvSpPr txBox="1"/>
          </xdr:nvSpPr>
          <xdr:spPr>
            <a:xfrm>
              <a:off x="13536153103" y="21361044"/>
              <a:ext cx="33598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−15,000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5∗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𝑚𝑖𝑛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1,000</m:t>
                            </m:r>
                          </m:e>
                          <m:e>
                            <m:d>
                              <m:d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dPr>
                              <m:e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4.1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−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𝑠𝑡</m:t>
                                </m:r>
                              </m:e>
                            </m:d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∗10,000+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1,000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61BC0C6B-8D3E-5937-862A-270904D0647A}"/>
                </a:ext>
              </a:extLst>
            </xdr:cNvPr>
            <xdr:cNvSpPr txBox="1"/>
          </xdr:nvSpPr>
          <xdr:spPr>
            <a:xfrm>
              <a:off x="13536153103" y="21361044"/>
              <a:ext cx="33598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−15,000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5∗</a:t>
              </a:r>
              <a:r>
                <a:rPr lang="en-US" sz="1100" b="0" i="0">
                  <a:latin typeface="Cambria Math" panose="02040503050406030204" pitchFamily="18" charset="0"/>
                </a:rPr>
                <a:t>𝑚𝑖𝑛{█(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@(</a:t>
              </a:r>
              <a:r>
                <a:rPr lang="he-IL" sz="1100" b="0" i="0">
                  <a:latin typeface="Cambria Math" panose="02040503050406030204" pitchFamily="18" charset="0"/>
                </a:rPr>
                <a:t>4.1</a:t>
              </a:r>
              <a:r>
                <a:rPr lang="en-US" sz="1100" b="0" i="0">
                  <a:latin typeface="Cambria Math" panose="02040503050406030204" pitchFamily="18" charset="0"/>
                </a:rPr>
                <a:t>−𝑠𝑡)∗10,000+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146675</xdr:colOff>
      <xdr:row>106</xdr:row>
      <xdr:rowOff>132368</xdr:rowOff>
    </xdr:from>
    <xdr:ext cx="33598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FFB8E711-C171-F1F7-7F08-3910F595A832}"/>
                </a:ext>
              </a:extLst>
            </xdr:cNvPr>
            <xdr:cNvSpPr txBox="1"/>
          </xdr:nvSpPr>
          <xdr:spPr>
            <a:xfrm>
              <a:off x="13536138794" y="21833269"/>
              <a:ext cx="33598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−3,000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𝑚𝑖𝑛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1,000</m:t>
                            </m:r>
                          </m:e>
                          <m:e>
                            <m:d>
                              <m:d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dPr>
                              <m:e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4.1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−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𝑠𝑡</m:t>
                                </m:r>
                              </m:e>
                            </m:d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∗10,000+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1,000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FFB8E711-C171-F1F7-7F08-3910F595A832}"/>
                </a:ext>
              </a:extLst>
            </xdr:cNvPr>
            <xdr:cNvSpPr txBox="1"/>
          </xdr:nvSpPr>
          <xdr:spPr>
            <a:xfrm>
              <a:off x="13536138794" y="21833269"/>
              <a:ext cx="33598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−3,000</a:t>
              </a:r>
              <a:r>
                <a:rPr lang="en-US" sz="1100" b="0" i="0">
                  <a:latin typeface="Cambria Math" panose="02040503050406030204" pitchFamily="18" charset="0"/>
                </a:rPr>
                <a:t>=𝑚𝑖𝑛{█(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@(</a:t>
              </a:r>
              <a:r>
                <a:rPr lang="he-IL" sz="1100" b="0" i="0">
                  <a:latin typeface="Cambria Math" panose="02040503050406030204" pitchFamily="18" charset="0"/>
                </a:rPr>
                <a:t>4.1</a:t>
              </a:r>
              <a:r>
                <a:rPr lang="en-US" sz="1100" b="0" i="0">
                  <a:latin typeface="Cambria Math" panose="02040503050406030204" pitchFamily="18" charset="0"/>
                </a:rPr>
                <a:t>−𝑠𝑡)∗10,000+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168140</xdr:colOff>
      <xdr:row>109</xdr:row>
      <xdr:rowOff>64396</xdr:rowOff>
    </xdr:from>
    <xdr:ext cx="335982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056F511F-8067-99E5-12EF-633846A918B8}"/>
                </a:ext>
              </a:extLst>
            </xdr:cNvPr>
            <xdr:cNvSpPr txBox="1"/>
          </xdr:nvSpPr>
          <xdr:spPr>
            <a:xfrm>
              <a:off x="13536117329" y="22377044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−3,000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4.1−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∗10,000+1,000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056F511F-8067-99E5-12EF-633846A918B8}"/>
                </a:ext>
              </a:extLst>
            </xdr:cNvPr>
            <xdr:cNvSpPr txBox="1"/>
          </xdr:nvSpPr>
          <xdr:spPr>
            <a:xfrm>
              <a:off x="13536117329" y="22377044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−3,000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(4.1−</a:t>
              </a:r>
              <a:r>
                <a:rPr lang="en-US" sz="1100" b="0" i="0">
                  <a:latin typeface="Cambria Math" panose="02040503050406030204" pitchFamily="18" charset="0"/>
                </a:rPr>
                <a:t>𝑠𝑡)∗10,000+1,000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164563</xdr:colOff>
      <xdr:row>110</xdr:row>
      <xdr:rowOff>196763</xdr:rowOff>
    </xdr:from>
    <xdr:ext cx="335982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1ABDA315-DEEE-70D7-50A4-D1C9DF31C003}"/>
                </a:ext>
              </a:extLst>
            </xdr:cNvPr>
            <xdr:cNvSpPr txBox="1"/>
          </xdr:nvSpPr>
          <xdr:spPr>
            <a:xfrm>
              <a:off x="13536120906" y="22713326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=4.5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1ABDA315-DEEE-70D7-50A4-D1C9DF31C003}"/>
                </a:ext>
              </a:extLst>
            </xdr:cNvPr>
            <xdr:cNvSpPr txBox="1"/>
          </xdr:nvSpPr>
          <xdr:spPr>
            <a:xfrm>
              <a:off x="13536120906" y="22713326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𝑠𝑡=4.5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440029</xdr:colOff>
      <xdr:row>116</xdr:row>
      <xdr:rowOff>67972</xdr:rowOff>
    </xdr:from>
    <xdr:ext cx="3359827" cy="18011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1E8DA837-EA82-6741-BA4E-0F2DCD72DB08}"/>
                </a:ext>
              </a:extLst>
            </xdr:cNvPr>
            <xdr:cNvSpPr txBox="1"/>
          </xdr:nvSpPr>
          <xdr:spPr>
            <a:xfrm>
              <a:off x="13534192651" y="23808028"/>
              <a:ext cx="3359827" cy="1801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𝑆𝐻𝑂𝑅𝑇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𝑥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∗10,000+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𝑝𝑟𝑒𝑚𝑖𝑢𝑚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1E8DA837-EA82-6741-BA4E-0F2DCD72DB08}"/>
                </a:ext>
              </a:extLst>
            </xdr:cNvPr>
            <xdr:cNvSpPr txBox="1"/>
          </xdr:nvSpPr>
          <xdr:spPr>
            <a:xfrm>
              <a:off x="13534192651" y="23808028"/>
              <a:ext cx="3359827" cy="1801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𝑃&amp;𝐿_𝐶𝐴𝐿𝐿^𝑆𝐻𝑂𝑅𝑇 (𝑈𝑆𝐷)=(𝑥−𝑠𝑡)∗10,000+𝑝𝑟𝑒𝑚𝑖𝑢𝑚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448234</xdr:colOff>
      <xdr:row>136</xdr:row>
      <xdr:rowOff>146164</xdr:rowOff>
    </xdr:from>
    <xdr:ext cx="3359827" cy="18011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54D8BF0E-9E8B-9949-91CD-150DE22D3E49}"/>
                </a:ext>
              </a:extLst>
            </xdr:cNvPr>
            <xdr:cNvSpPr txBox="1"/>
          </xdr:nvSpPr>
          <xdr:spPr>
            <a:xfrm>
              <a:off x="13511551427" y="27439796"/>
              <a:ext cx="3359827" cy="1801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𝑆𝐻𝑂𝑅𝑇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𝑥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∗10,000+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𝑝𝑟𝑒𝑚𝑖𝑢𝑚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54D8BF0E-9E8B-9949-91CD-150DE22D3E49}"/>
                </a:ext>
              </a:extLst>
            </xdr:cNvPr>
            <xdr:cNvSpPr txBox="1"/>
          </xdr:nvSpPr>
          <xdr:spPr>
            <a:xfrm>
              <a:off x="13511551427" y="27439796"/>
              <a:ext cx="3359827" cy="1801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𝑃&amp;𝐿_𝐶𝐴𝐿𝐿^𝑆𝐻𝑂𝑅𝑇 (𝑈𝑆𝐷)=(𝑥−𝑠𝑡)∗10,000+𝑝𝑟𝑒𝑚𝑖𝑢𝑚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406009</xdr:colOff>
      <xdr:row>139</xdr:row>
      <xdr:rowOff>9745</xdr:rowOff>
    </xdr:from>
    <xdr:ext cx="335982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E29366CE-A3BA-660E-AF31-BB39161CA6DA}"/>
                </a:ext>
              </a:extLst>
            </xdr:cNvPr>
            <xdr:cNvSpPr txBox="1"/>
          </xdr:nvSpPr>
          <xdr:spPr>
            <a:xfrm>
              <a:off x="13511593652" y="27917264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2,400=8∗[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3.7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∗10,000+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600]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E29366CE-A3BA-660E-AF31-BB39161CA6DA}"/>
                </a:ext>
              </a:extLst>
            </xdr:cNvPr>
            <xdr:cNvSpPr txBox="1"/>
          </xdr:nvSpPr>
          <xdr:spPr>
            <a:xfrm>
              <a:off x="13511593652" y="27917264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2,400=8∗[</a:t>
              </a:r>
              <a:r>
                <a:rPr lang="en-US" sz="1100" b="0" i="0">
                  <a:latin typeface="Cambria Math" panose="02040503050406030204" pitchFamily="18" charset="0"/>
                </a:rPr>
                <a:t>(</a:t>
              </a:r>
              <a:r>
                <a:rPr lang="he-IL" sz="1100" b="0" i="0">
                  <a:latin typeface="Cambria Math" panose="02040503050406030204" pitchFamily="18" charset="0"/>
                </a:rPr>
                <a:t>3.7</a:t>
              </a:r>
              <a:r>
                <a:rPr lang="en-US" sz="1100" b="0" i="0">
                  <a:latin typeface="Cambria Math" panose="02040503050406030204" pitchFamily="18" charset="0"/>
                </a:rPr>
                <a:t>−𝑠𝑡)∗10,000+</a:t>
              </a:r>
              <a:r>
                <a:rPr lang="he-IL" sz="1100" b="0" i="0">
                  <a:latin typeface="Cambria Math" panose="02040503050406030204" pitchFamily="18" charset="0"/>
                </a:rPr>
                <a:t>600]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396265</xdr:colOff>
      <xdr:row>140</xdr:row>
      <xdr:rowOff>84451</xdr:rowOff>
    </xdr:from>
    <xdr:ext cx="335982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39CD67F0-311A-A488-D2C9-D5B19F982155}"/>
                </a:ext>
              </a:extLst>
            </xdr:cNvPr>
            <xdr:cNvSpPr txBox="1"/>
          </xdr:nvSpPr>
          <xdr:spPr>
            <a:xfrm>
              <a:off x="13511603396" y="28196599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300=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3.7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∗10,000+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39CD67F0-311A-A488-D2C9-D5B19F982155}"/>
                </a:ext>
              </a:extLst>
            </xdr:cNvPr>
            <xdr:cNvSpPr txBox="1"/>
          </xdr:nvSpPr>
          <xdr:spPr>
            <a:xfrm>
              <a:off x="13511603396" y="28196599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300=</a:t>
              </a:r>
              <a:r>
                <a:rPr lang="en-US" sz="1100" b="0" i="0">
                  <a:latin typeface="Cambria Math" panose="02040503050406030204" pitchFamily="18" charset="0"/>
                </a:rPr>
                <a:t>(</a:t>
              </a:r>
              <a:r>
                <a:rPr lang="he-IL" sz="1100" b="0" i="0">
                  <a:latin typeface="Cambria Math" panose="02040503050406030204" pitchFamily="18" charset="0"/>
                </a:rPr>
                <a:t>3.7</a:t>
              </a:r>
              <a:r>
                <a:rPr lang="en-US" sz="1100" b="0" i="0">
                  <a:latin typeface="Cambria Math" panose="02040503050406030204" pitchFamily="18" charset="0"/>
                </a:rPr>
                <a:t>−𝑠𝑡)∗10,000+</a:t>
              </a:r>
              <a:r>
                <a:rPr lang="he-IL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393017</xdr:colOff>
      <xdr:row>141</xdr:row>
      <xdr:rowOff>120180</xdr:rowOff>
    </xdr:from>
    <xdr:ext cx="335982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A57B1C70-FBC4-86A2-87CA-4EB8B604BCC7}"/>
                </a:ext>
              </a:extLst>
            </xdr:cNvPr>
            <xdr:cNvSpPr txBox="1"/>
          </xdr:nvSpPr>
          <xdr:spPr>
            <a:xfrm>
              <a:off x="13511606644" y="28436957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−300=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3.7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A57B1C70-FBC4-86A2-87CA-4EB8B604BCC7}"/>
                </a:ext>
              </a:extLst>
            </xdr:cNvPr>
            <xdr:cNvSpPr txBox="1"/>
          </xdr:nvSpPr>
          <xdr:spPr>
            <a:xfrm>
              <a:off x="13511606644" y="28436957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−300=</a:t>
              </a:r>
              <a:r>
                <a:rPr lang="en-US" sz="1100" b="0" i="0">
                  <a:latin typeface="Cambria Math" panose="02040503050406030204" pitchFamily="18" charset="0"/>
                </a:rPr>
                <a:t>(</a:t>
              </a:r>
              <a:r>
                <a:rPr lang="he-IL" sz="1100" b="0" i="0">
                  <a:latin typeface="Cambria Math" panose="02040503050406030204" pitchFamily="18" charset="0"/>
                </a:rPr>
                <a:t>3.7</a:t>
              </a:r>
              <a:r>
                <a:rPr lang="en-US" sz="1100" b="0" i="0">
                  <a:latin typeface="Cambria Math" panose="02040503050406030204" pitchFamily="18" charset="0"/>
                </a:rPr>
                <a:t>−𝑠𝑡)∗10,000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399513</xdr:colOff>
      <xdr:row>142</xdr:row>
      <xdr:rowOff>172149</xdr:rowOff>
    </xdr:from>
    <xdr:ext cx="335982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FC90788E-4508-B009-457A-90BA446C2138}"/>
                </a:ext>
              </a:extLst>
            </xdr:cNvPr>
            <xdr:cNvSpPr txBox="1"/>
          </xdr:nvSpPr>
          <xdr:spPr>
            <a:xfrm>
              <a:off x="13511600148" y="28693556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−0.03=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3.7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FC90788E-4508-B009-457A-90BA446C2138}"/>
                </a:ext>
              </a:extLst>
            </xdr:cNvPr>
            <xdr:cNvSpPr txBox="1"/>
          </xdr:nvSpPr>
          <xdr:spPr>
            <a:xfrm>
              <a:off x="13511600148" y="28693556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−0.03=</a:t>
              </a:r>
              <a:r>
                <a:rPr lang="en-US" sz="1100" b="0" i="0">
                  <a:latin typeface="Cambria Math" panose="02040503050406030204" pitchFamily="18" charset="0"/>
                </a:rPr>
                <a:t>(</a:t>
              </a:r>
              <a:r>
                <a:rPr lang="he-IL" sz="1100" b="0" i="0">
                  <a:latin typeface="Cambria Math" panose="02040503050406030204" pitchFamily="18" charset="0"/>
                </a:rPr>
                <a:t>3.7</a:t>
              </a:r>
              <a:r>
                <a:rPr lang="en-US" sz="1100" b="0" i="0">
                  <a:latin typeface="Cambria Math" panose="02040503050406030204" pitchFamily="18" charset="0"/>
                </a:rPr>
                <a:t>−𝑠𝑡)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324807</xdr:colOff>
      <xdr:row>144</xdr:row>
      <xdr:rowOff>42226</xdr:rowOff>
    </xdr:from>
    <xdr:ext cx="180918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A643DF87-7BB3-8545-CD48-544B6D147B61}"/>
                </a:ext>
              </a:extLst>
            </xdr:cNvPr>
            <xdr:cNvSpPr txBox="1"/>
          </xdr:nvSpPr>
          <xdr:spPr>
            <a:xfrm>
              <a:off x="13512400486" y="28972891"/>
              <a:ext cx="180918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=3.73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A643DF87-7BB3-8545-CD48-544B6D147B61}"/>
                </a:ext>
              </a:extLst>
            </xdr:cNvPr>
            <xdr:cNvSpPr txBox="1"/>
          </xdr:nvSpPr>
          <xdr:spPr>
            <a:xfrm>
              <a:off x="13512400486" y="28972891"/>
              <a:ext cx="180918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𝑠𝑡=3.73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467895</xdr:colOff>
      <xdr:row>555</xdr:row>
      <xdr:rowOff>72412</xdr:rowOff>
    </xdr:from>
    <xdr:to>
      <xdr:col>4</xdr:col>
      <xdr:colOff>473465</xdr:colOff>
      <xdr:row>568</xdr:row>
      <xdr:rowOff>122544</xdr:rowOff>
    </xdr:to>
    <xdr:cxnSp macro="">
      <xdr:nvCxnSpPr>
        <xdr:cNvPr id="2" name="Straight Arrow Connector 1">
          <a:extLst>
            <a:ext uri="{FF2B5EF4-FFF2-40B4-BE49-F238E27FC236}">
              <a16:creationId xmlns:a16="http://schemas.microsoft.com/office/drawing/2014/main" id="{28AFC4C6-88AF-8448-B996-D9008F66E2FD}"/>
            </a:ext>
          </a:extLst>
        </xdr:cNvPr>
        <xdr:cNvCxnSpPr/>
      </xdr:nvCxnSpPr>
      <xdr:spPr>
        <a:xfrm flipV="1">
          <a:off x="13521356235" y="99437212"/>
          <a:ext cx="5570" cy="269173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551448</xdr:colOff>
      <xdr:row>565</xdr:row>
      <xdr:rowOff>55702</xdr:rowOff>
    </xdr:from>
    <xdr:to>
      <xdr:col>4</xdr:col>
      <xdr:colOff>612720</xdr:colOff>
      <xdr:row>565</xdr:row>
      <xdr:rowOff>61272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4A718C1B-333F-E844-A4E9-1E3B59AF83B1}"/>
            </a:ext>
          </a:extLst>
        </xdr:cNvPr>
        <xdr:cNvCxnSpPr/>
      </xdr:nvCxnSpPr>
      <xdr:spPr>
        <a:xfrm flipV="1">
          <a:off x="13521216980" y="101452502"/>
          <a:ext cx="2918772" cy="55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440045</xdr:colOff>
      <xdr:row>565</xdr:row>
      <xdr:rowOff>89122</xdr:rowOff>
    </xdr:from>
    <xdr:to>
      <xdr:col>4</xdr:col>
      <xdr:colOff>467895</xdr:colOff>
      <xdr:row>565</xdr:row>
      <xdr:rowOff>94692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9CA3F475-6618-7345-BFB9-7A6892CCD6DF}"/>
            </a:ext>
          </a:extLst>
        </xdr:cNvPr>
        <xdr:cNvCxnSpPr/>
      </xdr:nvCxnSpPr>
      <xdr:spPr>
        <a:xfrm flipV="1">
          <a:off x="13521361805" y="101485922"/>
          <a:ext cx="967650" cy="557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768685</xdr:colOff>
      <xdr:row>565</xdr:row>
      <xdr:rowOff>94692</xdr:rowOff>
    </xdr:from>
    <xdr:to>
      <xdr:col>3</xdr:col>
      <xdr:colOff>451185</xdr:colOff>
      <xdr:row>570</xdr:row>
      <xdr:rowOff>167105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646BE799-716B-4143-857C-0EEB2D140642}"/>
            </a:ext>
          </a:extLst>
        </xdr:cNvPr>
        <xdr:cNvCxnSpPr/>
      </xdr:nvCxnSpPr>
      <xdr:spPr>
        <a:xfrm>
          <a:off x="13522318315" y="101491492"/>
          <a:ext cx="1600200" cy="108841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440045</xdr:colOff>
      <xdr:row>562</xdr:row>
      <xdr:rowOff>77982</xdr:rowOff>
    </xdr:from>
    <xdr:to>
      <xdr:col>4</xdr:col>
      <xdr:colOff>467895</xdr:colOff>
      <xdr:row>562</xdr:row>
      <xdr:rowOff>83552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FDE0D300-2166-2047-BCBC-872E8E71AE1F}"/>
            </a:ext>
          </a:extLst>
        </xdr:cNvPr>
        <xdr:cNvCxnSpPr/>
      </xdr:nvCxnSpPr>
      <xdr:spPr>
        <a:xfrm flipV="1">
          <a:off x="13521361805" y="100865182"/>
          <a:ext cx="967650" cy="557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757545</xdr:colOff>
      <xdr:row>562</xdr:row>
      <xdr:rowOff>72411</xdr:rowOff>
    </xdr:from>
    <xdr:to>
      <xdr:col>3</xdr:col>
      <xdr:colOff>440045</xdr:colOff>
      <xdr:row>567</xdr:row>
      <xdr:rowOff>144824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8CAAC062-6184-4943-8D83-1471BE700667}"/>
            </a:ext>
          </a:extLst>
        </xdr:cNvPr>
        <xdr:cNvCxnSpPr/>
      </xdr:nvCxnSpPr>
      <xdr:spPr>
        <a:xfrm>
          <a:off x="13522329455" y="100859611"/>
          <a:ext cx="1600200" cy="108841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467895</xdr:colOff>
      <xdr:row>615</xdr:row>
      <xdr:rowOff>72412</xdr:rowOff>
    </xdr:from>
    <xdr:to>
      <xdr:col>4</xdr:col>
      <xdr:colOff>473465</xdr:colOff>
      <xdr:row>628</xdr:row>
      <xdr:rowOff>122544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A64C2543-F399-AB4F-9C79-1B9752E8390B}"/>
            </a:ext>
          </a:extLst>
        </xdr:cNvPr>
        <xdr:cNvCxnSpPr/>
      </xdr:nvCxnSpPr>
      <xdr:spPr>
        <a:xfrm flipV="1">
          <a:off x="13521356235" y="111654612"/>
          <a:ext cx="5570" cy="269173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551448</xdr:colOff>
      <xdr:row>625</xdr:row>
      <xdr:rowOff>55702</xdr:rowOff>
    </xdr:from>
    <xdr:to>
      <xdr:col>4</xdr:col>
      <xdr:colOff>612720</xdr:colOff>
      <xdr:row>625</xdr:row>
      <xdr:rowOff>61272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239206D4-2C5B-2446-B9C6-5CC9A251D322}"/>
            </a:ext>
          </a:extLst>
        </xdr:cNvPr>
        <xdr:cNvCxnSpPr/>
      </xdr:nvCxnSpPr>
      <xdr:spPr>
        <a:xfrm flipV="1">
          <a:off x="13521216980" y="113669902"/>
          <a:ext cx="2918772" cy="55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774255</xdr:colOff>
      <xdr:row>622</xdr:row>
      <xdr:rowOff>83552</xdr:rowOff>
    </xdr:from>
    <xdr:to>
      <xdr:col>4</xdr:col>
      <xdr:colOff>467895</xdr:colOff>
      <xdr:row>628</xdr:row>
      <xdr:rowOff>122544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5F6DF9D4-12DA-C547-A0FD-6B9150E001BA}"/>
            </a:ext>
          </a:extLst>
        </xdr:cNvPr>
        <xdr:cNvCxnSpPr/>
      </xdr:nvCxnSpPr>
      <xdr:spPr>
        <a:xfrm>
          <a:off x="13521361805" y="113088152"/>
          <a:ext cx="1649440" cy="125819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250658</xdr:colOff>
      <xdr:row>620</xdr:row>
      <xdr:rowOff>27851</xdr:rowOff>
    </xdr:from>
    <xdr:to>
      <xdr:col>2</xdr:col>
      <xdr:colOff>785396</xdr:colOff>
      <xdr:row>628</xdr:row>
      <xdr:rowOff>128114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8EEEF3EE-A6AD-C841-8226-6003FD162E63}"/>
            </a:ext>
          </a:extLst>
        </xdr:cNvPr>
        <xdr:cNvCxnSpPr/>
      </xdr:nvCxnSpPr>
      <xdr:spPr>
        <a:xfrm flipH="1">
          <a:off x="13523000104" y="112626051"/>
          <a:ext cx="1436438" cy="172586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8</xdr:col>
      <xdr:colOff>629664</xdr:colOff>
      <xdr:row>145</xdr:row>
      <xdr:rowOff>69370</xdr:rowOff>
    </xdr:from>
    <xdr:to>
      <xdr:col>14</xdr:col>
      <xdr:colOff>154748</xdr:colOff>
      <xdr:row>145</xdr:row>
      <xdr:rowOff>74706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FC8DCC23-FBAF-D245-BB78-9C6E03ED13BC}"/>
            </a:ext>
          </a:extLst>
        </xdr:cNvPr>
        <xdr:cNvCxnSpPr/>
      </xdr:nvCxnSpPr>
      <xdr:spPr>
        <a:xfrm>
          <a:off x="13513280252" y="15753870"/>
          <a:ext cx="4478084" cy="5336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394874</xdr:colOff>
      <xdr:row>134</xdr:row>
      <xdr:rowOff>10673</xdr:rowOff>
    </xdr:from>
    <xdr:to>
      <xdr:col>13</xdr:col>
      <xdr:colOff>426891</xdr:colOff>
      <xdr:row>154</xdr:row>
      <xdr:rowOff>10672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8F225544-607C-3545-849B-32359F5168DF}"/>
            </a:ext>
          </a:extLst>
        </xdr:cNvPr>
        <xdr:cNvCxnSpPr/>
      </xdr:nvCxnSpPr>
      <xdr:spPr>
        <a:xfrm flipV="1">
          <a:off x="13513833609" y="13421873"/>
          <a:ext cx="32017" cy="4140199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304159</xdr:colOff>
      <xdr:row>138</xdr:row>
      <xdr:rowOff>10674</xdr:rowOff>
    </xdr:from>
    <xdr:to>
      <xdr:col>13</xdr:col>
      <xdr:colOff>490923</xdr:colOff>
      <xdr:row>138</xdr:row>
      <xdr:rowOff>197438</xdr:rowOff>
    </xdr:to>
    <xdr:sp macro="" textlink="">
      <xdr:nvSpPr>
        <xdr:cNvPr id="14" name="Oval 13">
          <a:extLst>
            <a:ext uri="{FF2B5EF4-FFF2-40B4-BE49-F238E27FC236}">
              <a16:creationId xmlns:a16="http://schemas.microsoft.com/office/drawing/2014/main" id="{F3FAC3E1-21C0-AA48-A81C-022371EF3D94}"/>
            </a:ext>
          </a:extLst>
        </xdr:cNvPr>
        <xdr:cNvSpPr/>
      </xdr:nvSpPr>
      <xdr:spPr>
        <a:xfrm>
          <a:off x="13513769577" y="14247374"/>
          <a:ext cx="186764" cy="18676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11</xdr:col>
      <xdr:colOff>437563</xdr:colOff>
      <xdr:row>138</xdr:row>
      <xdr:rowOff>170087</xdr:rowOff>
    </xdr:from>
    <xdr:to>
      <xdr:col>13</xdr:col>
      <xdr:colOff>331510</xdr:colOff>
      <xdr:row>145</xdr:row>
      <xdr:rowOff>64034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93B81819-3445-8044-A4C8-BD91CFB3E979}"/>
            </a:ext>
          </a:extLst>
        </xdr:cNvPr>
        <xdr:cNvCxnSpPr>
          <a:stCxn id="14" idx="5"/>
        </xdr:cNvCxnSpPr>
      </xdr:nvCxnSpPr>
      <xdr:spPr>
        <a:xfrm>
          <a:off x="13513928990" y="14406787"/>
          <a:ext cx="1544947" cy="1341747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651008</xdr:colOff>
      <xdr:row>131</xdr:row>
      <xdr:rowOff>101386</xdr:rowOff>
    </xdr:from>
    <xdr:to>
      <xdr:col>11</xdr:col>
      <xdr:colOff>443569</xdr:colOff>
      <xdr:row>145</xdr:row>
      <xdr:rowOff>63364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11F19A8D-2012-2D40-BFBD-EA26C7200CBC}"/>
            </a:ext>
          </a:extLst>
        </xdr:cNvPr>
        <xdr:cNvCxnSpPr/>
      </xdr:nvCxnSpPr>
      <xdr:spPr>
        <a:xfrm flipV="1">
          <a:off x="13515467931" y="12890286"/>
          <a:ext cx="2269061" cy="2857578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373530</xdr:colOff>
      <xdr:row>136</xdr:row>
      <xdr:rowOff>32017</xdr:rowOff>
    </xdr:from>
    <xdr:to>
      <xdr:col>9</xdr:col>
      <xdr:colOff>373530</xdr:colOff>
      <xdr:row>141</xdr:row>
      <xdr:rowOff>138739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5753FEB4-7D40-9B46-8107-469B9A059A89}"/>
            </a:ext>
          </a:extLst>
        </xdr:cNvPr>
        <xdr:cNvCxnSpPr/>
      </xdr:nvCxnSpPr>
      <xdr:spPr>
        <a:xfrm>
          <a:off x="13517188970" y="13849617"/>
          <a:ext cx="0" cy="1148122"/>
        </a:xfrm>
        <a:prstGeom prst="straightConnector1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8</xdr:col>
      <xdr:colOff>85378</xdr:colOff>
      <xdr:row>134</xdr:row>
      <xdr:rowOff>197436</xdr:rowOff>
    </xdr:from>
    <xdr:to>
      <xdr:col>11</xdr:col>
      <xdr:colOff>437563</xdr:colOff>
      <xdr:row>151</xdr:row>
      <xdr:rowOff>80042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68DB129E-D091-AC44-86B8-1321DDD56829}"/>
            </a:ext>
          </a:extLst>
        </xdr:cNvPr>
        <xdr:cNvCxnSpPr/>
      </xdr:nvCxnSpPr>
      <xdr:spPr>
        <a:xfrm flipV="1">
          <a:off x="13515473937" y="13608636"/>
          <a:ext cx="2828685" cy="3413206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9</xdr:col>
      <xdr:colOff>320170</xdr:colOff>
      <xdr:row>138</xdr:row>
      <xdr:rowOff>135111</xdr:rowOff>
    </xdr:from>
    <xdr:ext cx="62588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091C40B0-D98D-0445-A71B-06032D086AE7}"/>
                </a:ext>
              </a:extLst>
            </xdr:cNvPr>
            <xdr:cNvSpPr txBox="1"/>
          </xdr:nvSpPr>
          <xdr:spPr>
            <a:xfrm>
              <a:off x="13516616443" y="14371811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=−35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091C40B0-D98D-0445-A71B-06032D086AE7}"/>
                </a:ext>
              </a:extLst>
            </xdr:cNvPr>
            <xdr:cNvSpPr txBox="1"/>
          </xdr:nvSpPr>
          <xdr:spPr>
            <a:xfrm>
              <a:off x="13516616443" y="14371811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=−35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426891</xdr:colOff>
      <xdr:row>143</xdr:row>
      <xdr:rowOff>21345</xdr:rowOff>
    </xdr:from>
    <xdr:to>
      <xdr:col>13</xdr:col>
      <xdr:colOff>437563</xdr:colOff>
      <xdr:row>151</xdr:row>
      <xdr:rowOff>69370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3ADD391B-C6A0-B941-B89B-A7767403CC22}"/>
            </a:ext>
          </a:extLst>
        </xdr:cNvPr>
        <xdr:cNvCxnSpPr/>
      </xdr:nvCxnSpPr>
      <xdr:spPr>
        <a:xfrm>
          <a:off x="13513822937" y="15299445"/>
          <a:ext cx="1661672" cy="1711725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419450</xdr:colOff>
      <xdr:row>146</xdr:row>
      <xdr:rowOff>209725</xdr:rowOff>
    </xdr:from>
    <xdr:to>
      <xdr:col>11</xdr:col>
      <xdr:colOff>426891</xdr:colOff>
      <xdr:row>150</xdr:row>
      <xdr:rowOff>197437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61BE4540-FF60-A74F-97C2-5CDDFA718992}"/>
            </a:ext>
          </a:extLst>
        </xdr:cNvPr>
        <xdr:cNvCxnSpPr/>
      </xdr:nvCxnSpPr>
      <xdr:spPr>
        <a:xfrm flipH="1">
          <a:off x="13515484609" y="16097425"/>
          <a:ext cx="7441" cy="838612"/>
        </a:xfrm>
        <a:prstGeom prst="straightConnector1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10</xdr:col>
      <xdr:colOff>608321</xdr:colOff>
      <xdr:row>147</xdr:row>
      <xdr:rowOff>161793</xdr:rowOff>
    </xdr:from>
    <xdr:ext cx="62588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6937A09A-7C4D-1245-97DC-571A243F8A20}"/>
                </a:ext>
              </a:extLst>
            </xdr:cNvPr>
            <xdr:cNvSpPr txBox="1"/>
          </xdr:nvSpPr>
          <xdr:spPr>
            <a:xfrm>
              <a:off x="13515502792" y="16265393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=−35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6937A09A-7C4D-1245-97DC-571A243F8A20}"/>
                </a:ext>
              </a:extLst>
            </xdr:cNvPr>
            <xdr:cNvSpPr txBox="1"/>
          </xdr:nvSpPr>
          <xdr:spPr>
            <a:xfrm>
              <a:off x="13515502792" y="16265393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=−35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13</xdr:col>
      <xdr:colOff>336176</xdr:colOff>
      <xdr:row>150</xdr:row>
      <xdr:rowOff>117398</xdr:rowOff>
    </xdr:from>
    <xdr:to>
      <xdr:col>13</xdr:col>
      <xdr:colOff>522940</xdr:colOff>
      <xdr:row>151</xdr:row>
      <xdr:rowOff>101389</xdr:rowOff>
    </xdr:to>
    <xdr:sp macro="" textlink="">
      <xdr:nvSpPr>
        <xdr:cNvPr id="23" name="Oval 22">
          <a:extLst>
            <a:ext uri="{FF2B5EF4-FFF2-40B4-BE49-F238E27FC236}">
              <a16:creationId xmlns:a16="http://schemas.microsoft.com/office/drawing/2014/main" id="{9C8A4D93-0D13-2949-A289-06F546943297}"/>
            </a:ext>
          </a:extLst>
        </xdr:cNvPr>
        <xdr:cNvSpPr/>
      </xdr:nvSpPr>
      <xdr:spPr>
        <a:xfrm>
          <a:off x="13513737560" y="16855998"/>
          <a:ext cx="186764" cy="187191"/>
        </a:xfrm>
        <a:prstGeom prst="ellipse">
          <a:avLst/>
        </a:prstGeom>
        <a:solidFill>
          <a:srgbClr val="00FA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13</xdr:col>
      <xdr:colOff>410883</xdr:colOff>
      <xdr:row>150</xdr:row>
      <xdr:rowOff>135112</xdr:rowOff>
    </xdr:from>
    <xdr:ext cx="62588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101FAE5B-D596-B14E-A463-A1005C097C81}"/>
                </a:ext>
              </a:extLst>
            </xdr:cNvPr>
            <xdr:cNvSpPr txBox="1"/>
          </xdr:nvSpPr>
          <xdr:spPr>
            <a:xfrm>
              <a:off x="13513223730" y="16873712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101FAE5B-D596-B14E-A463-A1005C097C81}"/>
                </a:ext>
              </a:extLst>
            </xdr:cNvPr>
            <xdr:cNvSpPr txBox="1"/>
          </xdr:nvSpPr>
          <xdr:spPr>
            <a:xfrm>
              <a:off x="13513223730" y="16873712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−35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13</xdr:col>
      <xdr:colOff>336176</xdr:colOff>
      <xdr:row>142</xdr:row>
      <xdr:rowOff>149415</xdr:rowOff>
    </xdr:from>
    <xdr:to>
      <xdr:col>13</xdr:col>
      <xdr:colOff>522940</xdr:colOff>
      <xdr:row>143</xdr:row>
      <xdr:rowOff>133406</xdr:rowOff>
    </xdr:to>
    <xdr:sp macro="" textlink="">
      <xdr:nvSpPr>
        <xdr:cNvPr id="25" name="Oval 24">
          <a:extLst>
            <a:ext uri="{FF2B5EF4-FFF2-40B4-BE49-F238E27FC236}">
              <a16:creationId xmlns:a16="http://schemas.microsoft.com/office/drawing/2014/main" id="{3CBDE417-CDA7-104B-9CF9-E00F94EB93EC}"/>
            </a:ext>
          </a:extLst>
        </xdr:cNvPr>
        <xdr:cNvSpPr/>
      </xdr:nvSpPr>
      <xdr:spPr>
        <a:xfrm>
          <a:off x="13513737560" y="15224315"/>
          <a:ext cx="186764" cy="187191"/>
        </a:xfrm>
        <a:prstGeom prst="ellipse">
          <a:avLst/>
        </a:prstGeom>
        <a:solidFill>
          <a:srgbClr val="00FA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13</xdr:col>
      <xdr:colOff>560294</xdr:colOff>
      <xdr:row>138</xdr:row>
      <xdr:rowOff>112058</xdr:rowOff>
    </xdr:from>
    <xdr:to>
      <xdr:col>13</xdr:col>
      <xdr:colOff>565630</xdr:colOff>
      <xdr:row>143</xdr:row>
      <xdr:rowOff>5336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39A9C1EF-B9F2-594C-81C3-FA61F079DFC4}"/>
            </a:ext>
          </a:extLst>
        </xdr:cNvPr>
        <xdr:cNvCxnSpPr/>
      </xdr:nvCxnSpPr>
      <xdr:spPr>
        <a:xfrm flipH="1">
          <a:off x="13513694870" y="14348758"/>
          <a:ext cx="5336" cy="934678"/>
        </a:xfrm>
        <a:prstGeom prst="straightConnector1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13</xdr:col>
      <xdr:colOff>533614</xdr:colOff>
      <xdr:row>140</xdr:row>
      <xdr:rowOff>39062</xdr:rowOff>
    </xdr:from>
    <xdr:ext cx="62588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4FC1DB75-CA6E-FC46-ACDC-3D8C14E7BF90}"/>
                </a:ext>
              </a:extLst>
            </xdr:cNvPr>
            <xdr:cNvSpPr txBox="1"/>
          </xdr:nvSpPr>
          <xdr:spPr>
            <a:xfrm>
              <a:off x="13513100999" y="14694862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=−35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4FC1DB75-CA6E-FC46-ACDC-3D8C14E7BF90}"/>
                </a:ext>
              </a:extLst>
            </xdr:cNvPr>
            <xdr:cNvSpPr txBox="1"/>
          </xdr:nvSpPr>
          <xdr:spPr>
            <a:xfrm>
              <a:off x="13513100999" y="14694862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=−35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13</xdr:col>
      <xdr:colOff>368195</xdr:colOff>
      <xdr:row>142</xdr:row>
      <xdr:rowOff>145785</xdr:rowOff>
    </xdr:from>
    <xdr:ext cx="62588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CFB397DF-7AA5-5A48-A2CE-BD143F8D046F}"/>
                </a:ext>
              </a:extLst>
            </xdr:cNvPr>
            <xdr:cNvSpPr txBox="1"/>
          </xdr:nvSpPr>
          <xdr:spPr>
            <a:xfrm>
              <a:off x="13513266418" y="15220685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1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CFB397DF-7AA5-5A48-A2CE-BD143F8D046F}"/>
                </a:ext>
              </a:extLst>
            </xdr:cNvPr>
            <xdr:cNvSpPr txBox="1"/>
          </xdr:nvSpPr>
          <xdr:spPr>
            <a:xfrm>
              <a:off x="13513266418" y="15220685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1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12</xdr:col>
      <xdr:colOff>715042</xdr:colOff>
      <xdr:row>144</xdr:row>
      <xdr:rowOff>176096</xdr:rowOff>
    </xdr:from>
    <xdr:to>
      <xdr:col>13</xdr:col>
      <xdr:colOff>74705</xdr:colOff>
      <xdr:row>145</xdr:row>
      <xdr:rowOff>160087</xdr:rowOff>
    </xdr:to>
    <xdr:sp macro="" textlink="">
      <xdr:nvSpPr>
        <xdr:cNvPr id="29" name="Oval 28">
          <a:extLst>
            <a:ext uri="{FF2B5EF4-FFF2-40B4-BE49-F238E27FC236}">
              <a16:creationId xmlns:a16="http://schemas.microsoft.com/office/drawing/2014/main" id="{F7FB0060-47BC-7B45-BFFA-94A365D1A4A0}"/>
            </a:ext>
          </a:extLst>
        </xdr:cNvPr>
        <xdr:cNvSpPr/>
      </xdr:nvSpPr>
      <xdr:spPr>
        <a:xfrm>
          <a:off x="13514185795" y="15657396"/>
          <a:ext cx="185163" cy="187191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10</xdr:col>
      <xdr:colOff>106723</xdr:colOff>
      <xdr:row>144</xdr:row>
      <xdr:rowOff>186768</xdr:rowOff>
    </xdr:from>
    <xdr:to>
      <xdr:col>10</xdr:col>
      <xdr:colOff>293487</xdr:colOff>
      <xdr:row>145</xdr:row>
      <xdr:rowOff>170759</xdr:rowOff>
    </xdr:to>
    <xdr:sp macro="" textlink="">
      <xdr:nvSpPr>
        <xdr:cNvPr id="30" name="Oval 29">
          <a:extLst>
            <a:ext uri="{FF2B5EF4-FFF2-40B4-BE49-F238E27FC236}">
              <a16:creationId xmlns:a16="http://schemas.microsoft.com/office/drawing/2014/main" id="{E4E06D7E-AEF4-DA49-8203-A90C41077476}"/>
            </a:ext>
          </a:extLst>
        </xdr:cNvPr>
        <xdr:cNvSpPr/>
      </xdr:nvSpPr>
      <xdr:spPr>
        <a:xfrm>
          <a:off x="13516443513" y="15668068"/>
          <a:ext cx="186764" cy="187191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10</xdr:col>
      <xdr:colOff>336178</xdr:colOff>
      <xdr:row>159</xdr:row>
      <xdr:rowOff>87085</xdr:rowOff>
    </xdr:from>
    <xdr:ext cx="2589584" cy="3602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6D105C6F-0A90-9045-B870-EC6E67EE8098}"/>
                </a:ext>
              </a:extLst>
            </xdr:cNvPr>
            <xdr:cNvSpPr txBox="1"/>
          </xdr:nvSpPr>
          <xdr:spPr>
            <a:xfrm>
              <a:off x="13513811238" y="18654485"/>
              <a:ext cx="2589584" cy="3602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𝑦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𝑦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−5−(+5)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20−10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−10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6D105C6F-0A90-9045-B870-EC6E67EE8098}"/>
                </a:ext>
              </a:extLst>
            </xdr:cNvPr>
            <xdr:cNvSpPr txBox="1"/>
          </xdr:nvSpPr>
          <xdr:spPr>
            <a:xfrm>
              <a:off x="13513811238" y="18654485"/>
              <a:ext cx="2589584" cy="3602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𝑦_2−𝑦_1</a:t>
              </a:r>
              <a:r>
                <a:rPr lang="he-IL" sz="1100" b="0" i="0">
                  <a:latin typeface="Cambria Math" panose="02040503050406030204" pitchFamily="18" charset="0"/>
                </a:rPr>
                <a:t>)/(</a:t>
              </a:r>
              <a:r>
                <a:rPr lang="en-US" sz="1100" b="0" i="0">
                  <a:latin typeface="Cambria Math" panose="02040503050406030204" pitchFamily="18" charset="0"/>
                </a:rPr>
                <a:t>𝑥_2−𝑥_1 </a:t>
              </a:r>
              <a:r>
                <a:rPr lang="he-IL" sz="1100" b="0" i="0">
                  <a:latin typeface="Cambria Math" panose="02040503050406030204" pitchFamily="18" charset="0"/>
                </a:rPr>
                <a:t>)</a:t>
              </a:r>
              <a:r>
                <a:rPr lang="en-US" sz="1100" b="0" i="0">
                  <a:latin typeface="Cambria Math" panose="02040503050406030204" pitchFamily="18" charset="0"/>
                </a:rPr>
                <a:t>=(−5−(+5))/(20−10)=(−10)/10=−1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780641</xdr:colOff>
      <xdr:row>150</xdr:row>
      <xdr:rowOff>162141</xdr:rowOff>
    </xdr:from>
    <xdr:to>
      <xdr:col>12</xdr:col>
      <xdr:colOff>23303</xdr:colOff>
      <xdr:row>153</xdr:row>
      <xdr:rowOff>81559</xdr:rowOff>
    </xdr:to>
    <xdr:sp macro="" textlink="">
      <xdr:nvSpPr>
        <xdr:cNvPr id="32" name="Oval 31">
          <a:extLst>
            <a:ext uri="{FF2B5EF4-FFF2-40B4-BE49-F238E27FC236}">
              <a16:creationId xmlns:a16="http://schemas.microsoft.com/office/drawing/2014/main" id="{2D33F486-F325-9A48-9DBE-355AB5C851A8}"/>
            </a:ext>
          </a:extLst>
        </xdr:cNvPr>
        <xdr:cNvSpPr/>
      </xdr:nvSpPr>
      <xdr:spPr>
        <a:xfrm>
          <a:off x="13515062697" y="16900741"/>
          <a:ext cx="893662" cy="52901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35-, 50</a:t>
          </a:r>
          <a:endParaRPr lang="en-US" sz="1100"/>
        </a:p>
      </xdr:txBody>
    </xdr:sp>
    <xdr:clientData/>
  </xdr:twoCellAnchor>
  <xdr:twoCellAnchor>
    <xdr:from>
      <xdr:col>13</xdr:col>
      <xdr:colOff>438150</xdr:colOff>
      <xdr:row>215</xdr:row>
      <xdr:rowOff>69850</xdr:rowOff>
    </xdr:from>
    <xdr:to>
      <xdr:col>13</xdr:col>
      <xdr:colOff>438150</xdr:colOff>
      <xdr:row>233</xdr:row>
      <xdr:rowOff>19050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58330ABC-FC8A-1E4B-98CF-24D0C992EE83}"/>
            </a:ext>
          </a:extLst>
        </xdr:cNvPr>
        <xdr:cNvCxnSpPr/>
      </xdr:nvCxnSpPr>
      <xdr:spPr>
        <a:xfrm flipV="1">
          <a:off x="13513822350" y="30143450"/>
          <a:ext cx="0" cy="361950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63500</xdr:colOff>
      <xdr:row>225</xdr:row>
      <xdr:rowOff>107950</xdr:rowOff>
    </xdr:from>
    <xdr:to>
      <xdr:col>14</xdr:col>
      <xdr:colOff>285750</xdr:colOff>
      <xdr:row>225</xdr:row>
      <xdr:rowOff>127000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D6E7E001-19FB-D043-A51E-915A17259949}"/>
            </a:ext>
          </a:extLst>
        </xdr:cNvPr>
        <xdr:cNvCxnSpPr/>
      </xdr:nvCxnSpPr>
      <xdr:spPr>
        <a:xfrm flipV="1">
          <a:off x="13513149250" y="32213550"/>
          <a:ext cx="4349750" cy="1905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13</xdr:col>
      <xdr:colOff>387350</xdr:colOff>
      <xdr:row>225</xdr:row>
      <xdr:rowOff>165100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49554238-6E8B-5E4D-AD4B-C3FF0954A889}"/>
                </a:ext>
              </a:extLst>
            </xdr:cNvPr>
            <xdr:cNvSpPr txBox="1"/>
          </xdr:nvSpPr>
          <xdr:spPr>
            <a:xfrm>
              <a:off x="13513523782" y="322707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49554238-6E8B-5E4D-AD4B-C3FF0954A889}"/>
                </a:ext>
              </a:extLst>
            </xdr:cNvPr>
            <xdr:cNvSpPr txBox="1"/>
          </xdr:nvSpPr>
          <xdr:spPr>
            <a:xfrm>
              <a:off x="13513523782" y="322707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13</xdr:col>
      <xdr:colOff>387350</xdr:colOff>
      <xdr:row>222</xdr:row>
      <xdr:rowOff>25400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2F750A83-993E-274F-A828-11B637772347}"/>
                </a:ext>
              </a:extLst>
            </xdr:cNvPr>
            <xdr:cNvSpPr txBox="1"/>
          </xdr:nvSpPr>
          <xdr:spPr>
            <a:xfrm>
              <a:off x="13513523782" y="315214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2F750A83-993E-274F-A828-11B637772347}"/>
                </a:ext>
              </a:extLst>
            </xdr:cNvPr>
            <xdr:cNvSpPr txBox="1"/>
          </xdr:nvSpPr>
          <xdr:spPr>
            <a:xfrm>
              <a:off x="13513523782" y="315214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13</xdr:col>
      <xdr:colOff>463550</xdr:colOff>
      <xdr:row>231</xdr:row>
      <xdr:rowOff>165100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94B14EDE-B82E-E54B-B090-8D2C1F645067}"/>
                </a:ext>
              </a:extLst>
            </xdr:cNvPr>
            <xdr:cNvSpPr txBox="1"/>
          </xdr:nvSpPr>
          <xdr:spPr>
            <a:xfrm>
              <a:off x="13513447582" y="334899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−25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94B14EDE-B82E-E54B-B090-8D2C1F645067}"/>
                </a:ext>
              </a:extLst>
            </xdr:cNvPr>
            <xdr:cNvSpPr txBox="1"/>
          </xdr:nvSpPr>
          <xdr:spPr>
            <a:xfrm>
              <a:off x="13513447582" y="334899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−25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781050</xdr:colOff>
      <xdr:row>225</xdr:row>
      <xdr:rowOff>146050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9AF92EE5-3B7B-774E-9DB5-862FE4F8B39D}"/>
                </a:ext>
              </a:extLst>
            </xdr:cNvPr>
            <xdr:cNvSpPr txBox="1"/>
          </xdr:nvSpPr>
          <xdr:spPr>
            <a:xfrm>
              <a:off x="13514781082" y="322516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9AF92EE5-3B7B-774E-9DB5-862FE4F8B39D}"/>
                </a:ext>
              </a:extLst>
            </xdr:cNvPr>
            <xdr:cNvSpPr txBox="1"/>
          </xdr:nvSpPr>
          <xdr:spPr>
            <a:xfrm>
              <a:off x="13514781082" y="322516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12</xdr:col>
      <xdr:colOff>171450</xdr:colOff>
      <xdr:row>222</xdr:row>
      <xdr:rowOff>92464</xdr:rowOff>
    </xdr:from>
    <xdr:to>
      <xdr:col>13</xdr:col>
      <xdr:colOff>431800</xdr:colOff>
      <xdr:row>232</xdr:row>
      <xdr:rowOff>31750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C5CCCDDA-9839-2445-8172-DA15AB448936}"/>
            </a:ext>
          </a:extLst>
        </xdr:cNvPr>
        <xdr:cNvCxnSpPr/>
      </xdr:nvCxnSpPr>
      <xdr:spPr>
        <a:xfrm>
          <a:off x="13513828700" y="31588464"/>
          <a:ext cx="1085850" cy="1971286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120650</xdr:colOff>
      <xdr:row>217</xdr:row>
      <xdr:rowOff>177800</xdr:rowOff>
    </xdr:from>
    <xdr:to>
      <xdr:col>12</xdr:col>
      <xdr:colOff>165100</xdr:colOff>
      <xdr:row>232</xdr:row>
      <xdr:rowOff>50800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54D8838D-C21A-2D4F-8614-DBCE7EA98C06}"/>
            </a:ext>
          </a:extLst>
        </xdr:cNvPr>
        <xdr:cNvCxnSpPr/>
      </xdr:nvCxnSpPr>
      <xdr:spPr>
        <a:xfrm flipH="1">
          <a:off x="13514920900" y="30657800"/>
          <a:ext cx="1695450" cy="2921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12</xdr:col>
      <xdr:colOff>228600</xdr:colOff>
      <xdr:row>232</xdr:row>
      <xdr:rowOff>44450</xdr:rowOff>
    </xdr:from>
    <xdr:to>
      <xdr:col>13</xdr:col>
      <xdr:colOff>298450</xdr:colOff>
      <xdr:row>232</xdr:row>
      <xdr:rowOff>50800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01A2C5C0-216C-D147-966D-6A4FBCC568AB}"/>
            </a:ext>
          </a:extLst>
        </xdr:cNvPr>
        <xdr:cNvCxnSpPr/>
      </xdr:nvCxnSpPr>
      <xdr:spPr>
        <a:xfrm flipV="1">
          <a:off x="13513962050" y="33572450"/>
          <a:ext cx="895350" cy="635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12</xdr:col>
      <xdr:colOff>133350</xdr:colOff>
      <xdr:row>226</xdr:row>
      <xdr:rowOff>127000</xdr:rowOff>
    </xdr:from>
    <xdr:to>
      <xdr:col>12</xdr:col>
      <xdr:colOff>146050</xdr:colOff>
      <xdr:row>231</xdr:row>
      <xdr:rowOff>165100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4CB84021-0B3C-3B4F-B804-2C8512CD4763}"/>
            </a:ext>
          </a:extLst>
        </xdr:cNvPr>
        <xdr:cNvCxnSpPr/>
      </xdr:nvCxnSpPr>
      <xdr:spPr>
        <a:xfrm flipH="1">
          <a:off x="13514939950" y="32435800"/>
          <a:ext cx="12700" cy="105410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12</xdr:col>
      <xdr:colOff>800100</xdr:colOff>
      <xdr:row>225</xdr:row>
      <xdr:rowOff>152400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659BF536-DB6B-8F4E-96DA-049A309F8E96}"/>
                </a:ext>
              </a:extLst>
            </xdr:cNvPr>
            <xdr:cNvSpPr txBox="1"/>
          </xdr:nvSpPr>
          <xdr:spPr>
            <a:xfrm>
              <a:off x="13513936532" y="322580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659BF536-DB6B-8F4E-96DA-049A309F8E96}"/>
                </a:ext>
              </a:extLst>
            </xdr:cNvPr>
            <xdr:cNvSpPr txBox="1"/>
          </xdr:nvSpPr>
          <xdr:spPr>
            <a:xfrm>
              <a:off x="13513936532" y="322580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704850</xdr:colOff>
      <xdr:row>225</xdr:row>
      <xdr:rowOff>146050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8724395F-15C6-A34A-8EF4-E892E8DECB4E}"/>
                </a:ext>
              </a:extLst>
            </xdr:cNvPr>
            <xdr:cNvSpPr txBox="1"/>
          </xdr:nvSpPr>
          <xdr:spPr>
            <a:xfrm>
              <a:off x="13515682782" y="322516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8724395F-15C6-A34A-8EF4-E892E8DECB4E}"/>
                </a:ext>
              </a:extLst>
            </xdr:cNvPr>
            <xdr:cNvSpPr txBox="1"/>
          </xdr:nvSpPr>
          <xdr:spPr>
            <a:xfrm>
              <a:off x="13515682782" y="322516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12</xdr:col>
      <xdr:colOff>438150</xdr:colOff>
      <xdr:row>267</xdr:row>
      <xdr:rowOff>69850</xdr:rowOff>
    </xdr:from>
    <xdr:to>
      <xdr:col>12</xdr:col>
      <xdr:colOff>438150</xdr:colOff>
      <xdr:row>285</xdr:row>
      <xdr:rowOff>19050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449FB1C0-C02C-924C-BA39-DD346A6978C1}"/>
            </a:ext>
          </a:extLst>
        </xdr:cNvPr>
        <xdr:cNvCxnSpPr/>
      </xdr:nvCxnSpPr>
      <xdr:spPr>
        <a:xfrm flipV="1">
          <a:off x="13514647850" y="40747950"/>
          <a:ext cx="0" cy="360680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63500</xdr:colOff>
      <xdr:row>277</xdr:row>
      <xdr:rowOff>107950</xdr:rowOff>
    </xdr:from>
    <xdr:to>
      <xdr:col>13</xdr:col>
      <xdr:colOff>285750</xdr:colOff>
      <xdr:row>277</xdr:row>
      <xdr:rowOff>127000</xdr:rowOff>
    </xdr:to>
    <xdr:cxnSp macro="">
      <xdr:nvCxnSpPr>
        <xdr:cNvPr id="46" name="Straight Arrow Connector 45">
          <a:extLst>
            <a:ext uri="{FF2B5EF4-FFF2-40B4-BE49-F238E27FC236}">
              <a16:creationId xmlns:a16="http://schemas.microsoft.com/office/drawing/2014/main" id="{DEFBD4B4-EF6E-2C4E-822F-CE60E5E83603}"/>
            </a:ext>
          </a:extLst>
        </xdr:cNvPr>
        <xdr:cNvCxnSpPr/>
      </xdr:nvCxnSpPr>
      <xdr:spPr>
        <a:xfrm flipV="1">
          <a:off x="13513974750" y="42818050"/>
          <a:ext cx="4349750" cy="1905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12</xdr:col>
      <xdr:colOff>387350</xdr:colOff>
      <xdr:row>277</xdr:row>
      <xdr:rowOff>165100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E0D3E8DA-E986-004A-AD3F-AFB78742ADF0}"/>
                </a:ext>
              </a:extLst>
            </xdr:cNvPr>
            <xdr:cNvSpPr txBox="1"/>
          </xdr:nvSpPr>
          <xdr:spPr>
            <a:xfrm>
              <a:off x="13514349282" y="428752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E0D3E8DA-E986-004A-AD3F-AFB78742ADF0}"/>
                </a:ext>
              </a:extLst>
            </xdr:cNvPr>
            <xdr:cNvSpPr txBox="1"/>
          </xdr:nvSpPr>
          <xdr:spPr>
            <a:xfrm>
              <a:off x="13514349282" y="428752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387350</xdr:colOff>
      <xdr:row>274</xdr:row>
      <xdr:rowOff>25400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3AA548B8-1ACF-7946-8C3F-41D8186C5AC3}"/>
                </a:ext>
              </a:extLst>
            </xdr:cNvPr>
            <xdr:cNvSpPr txBox="1"/>
          </xdr:nvSpPr>
          <xdr:spPr>
            <a:xfrm>
              <a:off x="13514349282" y="421259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3AA548B8-1ACF-7946-8C3F-41D8186C5AC3}"/>
                </a:ext>
              </a:extLst>
            </xdr:cNvPr>
            <xdr:cNvSpPr txBox="1"/>
          </xdr:nvSpPr>
          <xdr:spPr>
            <a:xfrm>
              <a:off x="13514349282" y="421259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463550</xdr:colOff>
      <xdr:row>283</xdr:row>
      <xdr:rowOff>165100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B99702AB-78B4-3A43-BA4D-12C294BC1FE4}"/>
                </a:ext>
              </a:extLst>
            </xdr:cNvPr>
            <xdr:cNvSpPr txBox="1"/>
          </xdr:nvSpPr>
          <xdr:spPr>
            <a:xfrm>
              <a:off x="13514273082" y="440944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−27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B99702AB-78B4-3A43-BA4D-12C294BC1FE4}"/>
                </a:ext>
              </a:extLst>
            </xdr:cNvPr>
            <xdr:cNvSpPr txBox="1"/>
          </xdr:nvSpPr>
          <xdr:spPr>
            <a:xfrm>
              <a:off x="13514273082" y="440944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−27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781050</xdr:colOff>
      <xdr:row>277</xdr:row>
      <xdr:rowOff>146050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44DFAE06-FA3B-FF4F-8E8A-F9C5C07D0AA1}"/>
                </a:ext>
              </a:extLst>
            </xdr:cNvPr>
            <xdr:cNvSpPr txBox="1"/>
          </xdr:nvSpPr>
          <xdr:spPr>
            <a:xfrm>
              <a:off x="13515606582" y="428561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44DFAE06-FA3B-FF4F-8E8A-F9C5C07D0AA1}"/>
                </a:ext>
              </a:extLst>
            </xdr:cNvPr>
            <xdr:cNvSpPr txBox="1"/>
          </xdr:nvSpPr>
          <xdr:spPr>
            <a:xfrm>
              <a:off x="13515606582" y="428561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171450</xdr:colOff>
      <xdr:row>274</xdr:row>
      <xdr:rowOff>92464</xdr:rowOff>
    </xdr:from>
    <xdr:to>
      <xdr:col>12</xdr:col>
      <xdr:colOff>431800</xdr:colOff>
      <xdr:row>284</xdr:row>
      <xdr:rowOff>31750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5974B433-7332-C449-9CB1-EF382CB0424A}"/>
            </a:ext>
          </a:extLst>
        </xdr:cNvPr>
        <xdr:cNvCxnSpPr/>
      </xdr:nvCxnSpPr>
      <xdr:spPr>
        <a:xfrm>
          <a:off x="13514654200" y="42192964"/>
          <a:ext cx="1085850" cy="1971286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9</xdr:col>
      <xdr:colOff>120650</xdr:colOff>
      <xdr:row>269</xdr:row>
      <xdr:rowOff>177800</xdr:rowOff>
    </xdr:from>
    <xdr:to>
      <xdr:col>11</xdr:col>
      <xdr:colOff>165100</xdr:colOff>
      <xdr:row>284</xdr:row>
      <xdr:rowOff>50800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62AADD75-C646-7343-BCC4-D793FB9FB2C7}"/>
            </a:ext>
          </a:extLst>
        </xdr:cNvPr>
        <xdr:cNvCxnSpPr/>
      </xdr:nvCxnSpPr>
      <xdr:spPr>
        <a:xfrm flipH="1">
          <a:off x="13515746400" y="41262300"/>
          <a:ext cx="1695450" cy="2921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11</xdr:col>
      <xdr:colOff>228600</xdr:colOff>
      <xdr:row>284</xdr:row>
      <xdr:rowOff>44450</xdr:rowOff>
    </xdr:from>
    <xdr:to>
      <xdr:col>12</xdr:col>
      <xdr:colOff>298450</xdr:colOff>
      <xdr:row>284</xdr:row>
      <xdr:rowOff>50800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AA53A248-FB38-5641-AF6C-1B0B971EDB63}"/>
            </a:ext>
          </a:extLst>
        </xdr:cNvPr>
        <xdr:cNvCxnSpPr/>
      </xdr:nvCxnSpPr>
      <xdr:spPr>
        <a:xfrm flipV="1">
          <a:off x="13514787550" y="44176950"/>
          <a:ext cx="895350" cy="635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133350</xdr:colOff>
      <xdr:row>278</xdr:row>
      <xdr:rowOff>127000</xdr:rowOff>
    </xdr:from>
    <xdr:to>
      <xdr:col>11</xdr:col>
      <xdr:colOff>146050</xdr:colOff>
      <xdr:row>283</xdr:row>
      <xdr:rowOff>165100</xdr:rowOff>
    </xdr:to>
    <xdr:cxnSp macro="">
      <xdr:nvCxnSpPr>
        <xdr:cNvPr id="54" name="Straight Connector 53">
          <a:extLst>
            <a:ext uri="{FF2B5EF4-FFF2-40B4-BE49-F238E27FC236}">
              <a16:creationId xmlns:a16="http://schemas.microsoft.com/office/drawing/2014/main" id="{8BFE88C9-D551-3641-A251-865EA4CD5A4F}"/>
            </a:ext>
          </a:extLst>
        </xdr:cNvPr>
        <xdr:cNvCxnSpPr/>
      </xdr:nvCxnSpPr>
      <xdr:spPr>
        <a:xfrm flipH="1">
          <a:off x="13515765450" y="43040300"/>
          <a:ext cx="12700" cy="105410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11</xdr:col>
      <xdr:colOff>800100</xdr:colOff>
      <xdr:row>277</xdr:row>
      <xdr:rowOff>152400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C2250D5A-7ECA-6F46-9D62-1D5FD4B16E68}"/>
                </a:ext>
              </a:extLst>
            </xdr:cNvPr>
            <xdr:cNvSpPr txBox="1"/>
          </xdr:nvSpPr>
          <xdr:spPr>
            <a:xfrm>
              <a:off x="13514762032" y="428625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C2250D5A-7ECA-6F46-9D62-1D5FD4B16E68}"/>
                </a:ext>
              </a:extLst>
            </xdr:cNvPr>
            <xdr:cNvSpPr txBox="1"/>
          </xdr:nvSpPr>
          <xdr:spPr>
            <a:xfrm>
              <a:off x="13514762032" y="428625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704850</xdr:colOff>
      <xdr:row>277</xdr:row>
      <xdr:rowOff>146050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60A6763B-4126-F848-AAA2-E2916D5460D3}"/>
                </a:ext>
              </a:extLst>
            </xdr:cNvPr>
            <xdr:cNvSpPr txBox="1"/>
          </xdr:nvSpPr>
          <xdr:spPr>
            <a:xfrm>
              <a:off x="13516508282" y="428561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67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60A6763B-4126-F848-AAA2-E2916D5460D3}"/>
                </a:ext>
              </a:extLst>
            </xdr:cNvPr>
            <xdr:cNvSpPr txBox="1"/>
          </xdr:nvSpPr>
          <xdr:spPr>
            <a:xfrm>
              <a:off x="13516508282" y="428561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67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411891</xdr:colOff>
      <xdr:row>59</xdr:row>
      <xdr:rowOff>68649</xdr:rowOff>
    </xdr:from>
    <xdr:to>
      <xdr:col>8</xdr:col>
      <xdr:colOff>419519</xdr:colOff>
      <xdr:row>72</xdr:row>
      <xdr:rowOff>72462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025789A9-A73A-606B-74C4-EB6714357FD2}"/>
            </a:ext>
          </a:extLst>
        </xdr:cNvPr>
        <xdr:cNvCxnSpPr/>
      </xdr:nvCxnSpPr>
      <xdr:spPr>
        <a:xfrm flipV="1">
          <a:off x="13489863724" y="11803754"/>
          <a:ext cx="7628" cy="2631531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308920</xdr:colOff>
      <xdr:row>68</xdr:row>
      <xdr:rowOff>122043</xdr:rowOff>
    </xdr:from>
    <xdr:to>
      <xdr:col>8</xdr:col>
      <xdr:colOff>579700</xdr:colOff>
      <xdr:row>68</xdr:row>
      <xdr:rowOff>129671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8B6B511A-7E59-97D3-C7C7-94C6E1FAFCB5}"/>
            </a:ext>
          </a:extLst>
        </xdr:cNvPr>
        <xdr:cNvCxnSpPr/>
      </xdr:nvCxnSpPr>
      <xdr:spPr>
        <a:xfrm flipV="1">
          <a:off x="13489703543" y="13676337"/>
          <a:ext cx="2742132" cy="7628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179248</xdr:colOff>
      <xdr:row>62</xdr:row>
      <xdr:rowOff>11899</xdr:rowOff>
    </xdr:from>
    <xdr:ext cx="72072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271FC3A9-BDBC-915E-33B4-1004DB505E0F}"/>
                </a:ext>
              </a:extLst>
            </xdr:cNvPr>
            <xdr:cNvSpPr txBox="1"/>
          </xdr:nvSpPr>
          <xdr:spPr>
            <a:xfrm>
              <a:off x="13489383275" y="12353401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271FC3A9-BDBC-915E-33B4-1004DB505E0F}"/>
                </a:ext>
              </a:extLst>
            </xdr:cNvPr>
            <xdr:cNvSpPr txBox="1"/>
          </xdr:nvSpPr>
          <xdr:spPr>
            <a:xfrm>
              <a:off x="13489383275" y="12353401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816156</xdr:colOff>
      <xdr:row>62</xdr:row>
      <xdr:rowOff>102972</xdr:rowOff>
    </xdr:from>
    <xdr:to>
      <xdr:col>8</xdr:col>
      <xdr:colOff>427147</xdr:colOff>
      <xdr:row>71</xdr:row>
      <xdr:rowOff>171621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FE34D25F-46E6-BCC0-7B90-CB56E15D3AFD}"/>
            </a:ext>
          </a:extLst>
        </xdr:cNvPr>
        <xdr:cNvCxnSpPr/>
      </xdr:nvCxnSpPr>
      <xdr:spPr>
        <a:xfrm>
          <a:off x="13489856096" y="12444474"/>
          <a:ext cx="1258559" cy="188783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6</xdr:col>
      <xdr:colOff>465285</xdr:colOff>
      <xdr:row>68</xdr:row>
      <xdr:rowOff>107244</xdr:rowOff>
    </xdr:from>
    <xdr:ext cx="72072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BCC43591-5FF2-F75A-5A03-4CFD273AC456}"/>
                </a:ext>
              </a:extLst>
            </xdr:cNvPr>
            <xdr:cNvSpPr txBox="1"/>
          </xdr:nvSpPr>
          <xdr:spPr>
            <a:xfrm>
              <a:off x="13490744806" y="13661538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BCC43591-5FF2-F75A-5A03-4CFD273AC456}"/>
                </a:ext>
              </a:extLst>
            </xdr:cNvPr>
            <xdr:cNvSpPr txBox="1"/>
          </xdr:nvSpPr>
          <xdr:spPr>
            <a:xfrm>
              <a:off x="13490744806" y="13661538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225015</xdr:colOff>
      <xdr:row>71</xdr:row>
      <xdr:rowOff>126314</xdr:rowOff>
    </xdr:from>
    <xdr:ext cx="72072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ADBC9205-06B6-B796-F58F-80F67D295767}"/>
                </a:ext>
              </a:extLst>
            </xdr:cNvPr>
            <xdr:cNvSpPr txBox="1"/>
          </xdr:nvSpPr>
          <xdr:spPr>
            <a:xfrm>
              <a:off x="13489337508" y="14287005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−18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ADBC9205-06B6-B796-F58F-80F67D295767}"/>
                </a:ext>
              </a:extLst>
            </xdr:cNvPr>
            <xdr:cNvSpPr txBox="1"/>
          </xdr:nvSpPr>
          <xdr:spPr>
            <a:xfrm>
              <a:off x="13489337508" y="14287005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−18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678858</xdr:colOff>
      <xdr:row>57</xdr:row>
      <xdr:rowOff>99159</xdr:rowOff>
    </xdr:from>
    <xdr:to>
      <xdr:col>6</xdr:col>
      <xdr:colOff>812343</xdr:colOff>
      <xdr:row>71</xdr:row>
      <xdr:rowOff>175435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12D5337D-9303-4179-F453-7343012521E5}"/>
            </a:ext>
          </a:extLst>
        </xdr:cNvPr>
        <xdr:cNvCxnSpPr/>
      </xdr:nvCxnSpPr>
      <xdr:spPr>
        <a:xfrm flipH="1">
          <a:off x="13491118468" y="11430000"/>
          <a:ext cx="1922163" cy="2906126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199002</xdr:colOff>
      <xdr:row>56</xdr:row>
      <xdr:rowOff>135922</xdr:rowOff>
    </xdr:from>
    <xdr:to>
      <xdr:col>5</xdr:col>
      <xdr:colOff>777493</xdr:colOff>
      <xdr:row>59</xdr:row>
      <xdr:rowOff>3016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8DF36E4E-3B78-4B8E-2595-58C8A0F0C8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50577556" y="11474912"/>
          <a:ext cx="578491" cy="500025"/>
        </a:xfrm>
        <a:prstGeom prst="rect">
          <a:avLst/>
        </a:prstGeom>
      </xdr:spPr>
    </xdr:pic>
    <xdr:clientData/>
  </xdr:twoCellAnchor>
  <xdr:oneCellAnchor>
    <xdr:from>
      <xdr:col>7</xdr:col>
      <xdr:colOff>167808</xdr:colOff>
      <xdr:row>68</xdr:row>
      <xdr:rowOff>126313</xdr:rowOff>
    </xdr:from>
    <xdr:ext cx="72072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1E100250-4545-CC82-510F-CBBC46EC92FC}"/>
                </a:ext>
              </a:extLst>
            </xdr:cNvPr>
            <xdr:cNvSpPr txBox="1"/>
          </xdr:nvSpPr>
          <xdr:spPr>
            <a:xfrm>
              <a:off x="13490218499" y="13680607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1E100250-4545-CC82-510F-CBBC46EC92FC}"/>
                </a:ext>
              </a:extLst>
            </xdr:cNvPr>
            <xdr:cNvSpPr txBox="1"/>
          </xdr:nvSpPr>
          <xdr:spPr>
            <a:xfrm>
              <a:off x="13490218499" y="13680607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724625</xdr:colOff>
      <xdr:row>68</xdr:row>
      <xdr:rowOff>145383</xdr:rowOff>
    </xdr:from>
    <xdr:ext cx="72072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9E3739E9-18B2-B335-2726-08EB8C7C0636}"/>
                </a:ext>
              </a:extLst>
            </xdr:cNvPr>
            <xdr:cNvSpPr txBox="1"/>
          </xdr:nvSpPr>
          <xdr:spPr>
            <a:xfrm>
              <a:off x="13491309250" y="13699677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68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9E3739E9-18B2-B335-2726-08EB8C7C0636}"/>
                </a:ext>
              </a:extLst>
            </xdr:cNvPr>
            <xdr:cNvSpPr txBox="1"/>
          </xdr:nvSpPr>
          <xdr:spPr>
            <a:xfrm>
              <a:off x="13491309250" y="13699677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68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160179</xdr:colOff>
      <xdr:row>68</xdr:row>
      <xdr:rowOff>153010</xdr:rowOff>
    </xdr:from>
    <xdr:ext cx="72072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2FB58097-AC00-688F-2985-666FF0854896}"/>
                </a:ext>
              </a:extLst>
            </xdr:cNvPr>
            <xdr:cNvSpPr txBox="1"/>
          </xdr:nvSpPr>
          <xdr:spPr>
            <a:xfrm>
              <a:off x="13489402344" y="13707304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2FB58097-AC00-688F-2985-666FF0854896}"/>
                </a:ext>
              </a:extLst>
            </xdr:cNvPr>
            <xdr:cNvSpPr txBox="1"/>
          </xdr:nvSpPr>
          <xdr:spPr>
            <a:xfrm>
              <a:off x="13489402344" y="13707304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97509</xdr:colOff>
      <xdr:row>74</xdr:row>
      <xdr:rowOff>10306</xdr:rowOff>
    </xdr:from>
    <xdr:to>
      <xdr:col>4</xdr:col>
      <xdr:colOff>882566</xdr:colOff>
      <xdr:row>74</xdr:row>
      <xdr:rowOff>210587</xdr:rowOff>
    </xdr:to>
    <xdr:sp macro="" textlink="">
      <xdr:nvSpPr>
        <xdr:cNvPr id="79" name="Right Arrow 78">
          <a:extLst>
            <a:ext uri="{FF2B5EF4-FFF2-40B4-BE49-F238E27FC236}">
              <a16:creationId xmlns:a16="http://schemas.microsoft.com/office/drawing/2014/main" id="{5C1D51C1-8887-4DB1-8FA9-B7F8A34A699A}"/>
            </a:ext>
          </a:extLst>
        </xdr:cNvPr>
        <xdr:cNvSpPr/>
      </xdr:nvSpPr>
      <xdr:spPr>
        <a:xfrm>
          <a:off x="13553561928" y="15334383"/>
          <a:ext cx="785057" cy="200281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296333</xdr:colOff>
      <xdr:row>86</xdr:row>
      <xdr:rowOff>29634</xdr:rowOff>
    </xdr:from>
    <xdr:to>
      <xdr:col>7</xdr:col>
      <xdr:colOff>313267</xdr:colOff>
      <xdr:row>100</xdr:row>
      <xdr:rowOff>114300</xdr:rowOff>
    </xdr:to>
    <xdr:cxnSp macro="">
      <xdr:nvCxnSpPr>
        <xdr:cNvPr id="81" name="Straight Arrow Connector 80">
          <a:extLst>
            <a:ext uri="{FF2B5EF4-FFF2-40B4-BE49-F238E27FC236}">
              <a16:creationId xmlns:a16="http://schemas.microsoft.com/office/drawing/2014/main" id="{8778B821-C386-E14B-9077-CD67B346A1A8}"/>
            </a:ext>
          </a:extLst>
        </xdr:cNvPr>
        <xdr:cNvCxnSpPr/>
      </xdr:nvCxnSpPr>
      <xdr:spPr>
        <a:xfrm flipV="1">
          <a:off x="13518900233" y="17822334"/>
          <a:ext cx="16934" cy="2929466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791633</xdr:colOff>
      <xdr:row>93</xdr:row>
      <xdr:rowOff>97367</xdr:rowOff>
    </xdr:from>
    <xdr:to>
      <xdr:col>7</xdr:col>
      <xdr:colOff>474133</xdr:colOff>
      <xdr:row>93</xdr:row>
      <xdr:rowOff>110067</xdr:rowOff>
    </xdr:to>
    <xdr:cxnSp macro="">
      <xdr:nvCxnSpPr>
        <xdr:cNvPr id="82" name="Straight Arrow Connector 81">
          <a:extLst>
            <a:ext uri="{FF2B5EF4-FFF2-40B4-BE49-F238E27FC236}">
              <a16:creationId xmlns:a16="http://schemas.microsoft.com/office/drawing/2014/main" id="{B56ECD07-691D-912D-8D4E-22B948603781}"/>
            </a:ext>
          </a:extLst>
        </xdr:cNvPr>
        <xdr:cNvCxnSpPr/>
      </xdr:nvCxnSpPr>
      <xdr:spPr>
        <a:xfrm>
          <a:off x="13518739367" y="19312467"/>
          <a:ext cx="2298700" cy="12700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622301</xdr:colOff>
      <xdr:row>85</xdr:row>
      <xdr:rowOff>44450</xdr:rowOff>
    </xdr:from>
    <xdr:ext cx="87853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F31B58BF-9484-8E8E-73F3-C700BDCAC3BF}"/>
                </a:ext>
              </a:extLst>
            </xdr:cNvPr>
            <xdr:cNvSpPr txBox="1"/>
          </xdr:nvSpPr>
          <xdr:spPr>
            <a:xfrm>
              <a:off x="13518538164" y="17633950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F31B58BF-9484-8E8E-73F3-C700BDCAC3BF}"/>
                </a:ext>
              </a:extLst>
            </xdr:cNvPr>
            <xdr:cNvSpPr txBox="1"/>
          </xdr:nvSpPr>
          <xdr:spPr>
            <a:xfrm>
              <a:off x="13518538164" y="17633950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258235</xdr:colOff>
      <xdr:row>92</xdr:row>
      <xdr:rowOff>201084</xdr:rowOff>
    </xdr:from>
    <xdr:ext cx="87853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1FF494B8-EA6C-40D1-C79A-6BA649A0D717}"/>
                </a:ext>
              </a:extLst>
            </xdr:cNvPr>
            <xdr:cNvSpPr txBox="1"/>
          </xdr:nvSpPr>
          <xdr:spPr>
            <a:xfrm>
              <a:off x="13520692930" y="19212984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1FF494B8-EA6C-40D1-C79A-6BA649A0D717}"/>
                </a:ext>
              </a:extLst>
            </xdr:cNvPr>
            <xdr:cNvSpPr txBox="1"/>
          </xdr:nvSpPr>
          <xdr:spPr>
            <a:xfrm>
              <a:off x="13520692930" y="19212984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𝑠_𝑡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186267</xdr:colOff>
      <xdr:row>88</xdr:row>
      <xdr:rowOff>182033</xdr:rowOff>
    </xdr:from>
    <xdr:to>
      <xdr:col>7</xdr:col>
      <xdr:colOff>300567</xdr:colOff>
      <xdr:row>96</xdr:row>
      <xdr:rowOff>110066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F299D3BE-C62A-330F-908D-2DB60A40D22A}"/>
            </a:ext>
          </a:extLst>
        </xdr:cNvPr>
        <xdr:cNvCxnSpPr/>
      </xdr:nvCxnSpPr>
      <xdr:spPr>
        <a:xfrm>
          <a:off x="13518912933" y="18381133"/>
          <a:ext cx="939800" cy="155363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376766</xdr:colOff>
      <xdr:row>84</xdr:row>
      <xdr:rowOff>143933</xdr:rowOff>
    </xdr:from>
    <xdr:to>
      <xdr:col>6</xdr:col>
      <xdr:colOff>190499</xdr:colOff>
      <xdr:row>96</xdr:row>
      <xdr:rowOff>110067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E926BE1E-0A27-D05B-9FD6-AE0485EB6775}"/>
            </a:ext>
          </a:extLst>
        </xdr:cNvPr>
        <xdr:cNvCxnSpPr/>
      </xdr:nvCxnSpPr>
      <xdr:spPr>
        <a:xfrm flipH="1">
          <a:off x="13519848501" y="17530233"/>
          <a:ext cx="1604433" cy="2404534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922867</xdr:colOff>
      <xdr:row>83</xdr:row>
      <xdr:rowOff>101601</xdr:rowOff>
    </xdr:from>
    <xdr:to>
      <xdr:col>4</xdr:col>
      <xdr:colOff>414867</xdr:colOff>
      <xdr:row>85</xdr:row>
      <xdr:rowOff>70535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B8348E29-331A-AF78-74A4-C2920F283A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21414833" y="17284701"/>
          <a:ext cx="431800" cy="375334"/>
        </a:xfrm>
        <a:prstGeom prst="rect">
          <a:avLst/>
        </a:prstGeom>
      </xdr:spPr>
    </xdr:pic>
    <xdr:clientData/>
  </xdr:twoCellAnchor>
  <xdr:oneCellAnchor>
    <xdr:from>
      <xdr:col>5</xdr:col>
      <xdr:colOff>567267</xdr:colOff>
      <xdr:row>93</xdr:row>
      <xdr:rowOff>103717</xdr:rowOff>
    </xdr:from>
    <xdr:ext cx="87853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820AC511-5F50-B44F-4198-0C0FE97A6FA1}"/>
                </a:ext>
              </a:extLst>
            </xdr:cNvPr>
            <xdr:cNvSpPr txBox="1"/>
          </xdr:nvSpPr>
          <xdr:spPr>
            <a:xfrm>
              <a:off x="13519418698" y="19318817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820AC511-5F50-B44F-4198-0C0FE97A6FA1}"/>
                </a:ext>
              </a:extLst>
            </xdr:cNvPr>
            <xdr:cNvSpPr txBox="1"/>
          </xdr:nvSpPr>
          <xdr:spPr>
            <a:xfrm>
              <a:off x="13519418698" y="19318817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774701</xdr:colOff>
      <xdr:row>93</xdr:row>
      <xdr:rowOff>107951</xdr:rowOff>
    </xdr:from>
    <xdr:ext cx="87853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7" name="TextBox 96">
              <a:extLst>
                <a:ext uri="{FF2B5EF4-FFF2-40B4-BE49-F238E27FC236}">
                  <a16:creationId xmlns:a16="http://schemas.microsoft.com/office/drawing/2014/main" id="{07204C80-EC68-B82E-2DCB-FD98C879F444}"/>
                </a:ext>
              </a:extLst>
            </xdr:cNvPr>
            <xdr:cNvSpPr txBox="1"/>
          </xdr:nvSpPr>
          <xdr:spPr>
            <a:xfrm>
              <a:off x="13518385764" y="19323051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7" name="TextBox 96">
              <a:extLst>
                <a:ext uri="{FF2B5EF4-FFF2-40B4-BE49-F238E27FC236}">
                  <a16:creationId xmlns:a16="http://schemas.microsoft.com/office/drawing/2014/main" id="{07204C80-EC68-B82E-2DCB-FD98C879F444}"/>
                </a:ext>
              </a:extLst>
            </xdr:cNvPr>
            <xdr:cNvSpPr txBox="1"/>
          </xdr:nvSpPr>
          <xdr:spPr>
            <a:xfrm>
              <a:off x="13518385764" y="19323051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33867</xdr:colOff>
      <xdr:row>96</xdr:row>
      <xdr:rowOff>2117</xdr:rowOff>
    </xdr:from>
    <xdr:ext cx="87853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B80183E2-E0EB-10A2-E13D-C0E2E7465B5D}"/>
                </a:ext>
              </a:extLst>
            </xdr:cNvPr>
            <xdr:cNvSpPr txBox="1"/>
          </xdr:nvSpPr>
          <xdr:spPr>
            <a:xfrm>
              <a:off x="13518301098" y="19826817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−43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B80183E2-E0EB-10A2-E13D-C0E2E7465B5D}"/>
                </a:ext>
              </a:extLst>
            </xdr:cNvPr>
            <xdr:cNvSpPr txBox="1"/>
          </xdr:nvSpPr>
          <xdr:spPr>
            <a:xfrm>
              <a:off x="13518301098" y="19826817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−43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800099</xdr:colOff>
      <xdr:row>88</xdr:row>
      <xdr:rowOff>91018</xdr:rowOff>
    </xdr:from>
    <xdr:ext cx="87853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95691B5C-99BB-54BC-7FE6-CDD68C79CC58}"/>
                </a:ext>
              </a:extLst>
            </xdr:cNvPr>
            <xdr:cNvSpPr txBox="1"/>
          </xdr:nvSpPr>
          <xdr:spPr>
            <a:xfrm>
              <a:off x="13518360366" y="18290118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57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95691B5C-99BB-54BC-7FE6-CDD68C79CC58}"/>
                </a:ext>
              </a:extLst>
            </xdr:cNvPr>
            <xdr:cNvSpPr txBox="1"/>
          </xdr:nvSpPr>
          <xdr:spPr>
            <a:xfrm>
              <a:off x="13518360366" y="18290118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57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203199</xdr:colOff>
      <xdr:row>93</xdr:row>
      <xdr:rowOff>112184</xdr:rowOff>
    </xdr:from>
    <xdr:ext cx="87853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8ECEB633-670C-AC45-F72A-573AE82EBB2B}"/>
                </a:ext>
              </a:extLst>
            </xdr:cNvPr>
            <xdr:cNvSpPr txBox="1"/>
          </xdr:nvSpPr>
          <xdr:spPr>
            <a:xfrm>
              <a:off x="13518957266" y="19327284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57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8ECEB633-670C-AC45-F72A-573AE82EBB2B}"/>
                </a:ext>
              </a:extLst>
            </xdr:cNvPr>
            <xdr:cNvSpPr txBox="1"/>
          </xdr:nvSpPr>
          <xdr:spPr>
            <a:xfrm>
              <a:off x="13518957266" y="19327284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57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67732</xdr:colOff>
      <xdr:row>93</xdr:row>
      <xdr:rowOff>116418</xdr:rowOff>
    </xdr:from>
    <xdr:ext cx="87853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A83DEC7D-B911-4721-E5E4-A1B31048F358}"/>
                </a:ext>
              </a:extLst>
            </xdr:cNvPr>
            <xdr:cNvSpPr txBox="1"/>
          </xdr:nvSpPr>
          <xdr:spPr>
            <a:xfrm>
              <a:off x="13519918233" y="19331518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143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A83DEC7D-B911-4721-E5E4-A1B31048F358}"/>
                </a:ext>
              </a:extLst>
            </xdr:cNvPr>
            <xdr:cNvSpPr txBox="1"/>
          </xdr:nvSpPr>
          <xdr:spPr>
            <a:xfrm>
              <a:off x="13519918233" y="19331518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143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412881</xdr:colOff>
      <xdr:row>401</xdr:row>
      <xdr:rowOff>193374</xdr:rowOff>
    </xdr:from>
    <xdr:to>
      <xdr:col>4</xdr:col>
      <xdr:colOff>433787</xdr:colOff>
      <xdr:row>412</xdr:row>
      <xdr:rowOff>114980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6ABC54E1-3214-ED5F-A8D9-6925328E996C}"/>
            </a:ext>
          </a:extLst>
        </xdr:cNvPr>
        <xdr:cNvCxnSpPr/>
      </xdr:nvCxnSpPr>
      <xdr:spPr>
        <a:xfrm flipV="1">
          <a:off x="13531354563" y="4718520"/>
          <a:ext cx="20906" cy="215951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52264</xdr:colOff>
      <xdr:row>409</xdr:row>
      <xdr:rowOff>104527</xdr:rowOff>
    </xdr:from>
    <xdr:to>
      <xdr:col>4</xdr:col>
      <xdr:colOff>590577</xdr:colOff>
      <xdr:row>409</xdr:row>
      <xdr:rowOff>114980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05F2CFB6-19FC-E9B4-7DAC-298CC9DE8FF1}"/>
            </a:ext>
          </a:extLst>
        </xdr:cNvPr>
        <xdr:cNvCxnSpPr/>
      </xdr:nvCxnSpPr>
      <xdr:spPr>
        <a:xfrm flipV="1">
          <a:off x="13525379794" y="5445844"/>
          <a:ext cx="3015597" cy="1045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15679</xdr:colOff>
      <xdr:row>409</xdr:row>
      <xdr:rowOff>83621</xdr:rowOff>
    </xdr:from>
    <xdr:to>
      <xdr:col>4</xdr:col>
      <xdr:colOff>402429</xdr:colOff>
      <xdr:row>409</xdr:row>
      <xdr:rowOff>83621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EE39CEB2-9535-8A78-D68C-01DD3ABA21FE}"/>
            </a:ext>
          </a:extLst>
        </xdr:cNvPr>
        <xdr:cNvCxnSpPr/>
      </xdr:nvCxnSpPr>
      <xdr:spPr>
        <a:xfrm>
          <a:off x="13525567942" y="5424938"/>
          <a:ext cx="1212511" cy="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329260</xdr:colOff>
      <xdr:row>402</xdr:row>
      <xdr:rowOff>67942</xdr:rowOff>
    </xdr:from>
    <xdr:to>
      <xdr:col>3</xdr:col>
      <xdr:colOff>31358</xdr:colOff>
      <xdr:row>409</xdr:row>
      <xdr:rowOff>88848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83761517-CA60-865A-1279-BD67AB686364}"/>
            </a:ext>
          </a:extLst>
        </xdr:cNvPr>
        <xdr:cNvCxnSpPr/>
      </xdr:nvCxnSpPr>
      <xdr:spPr>
        <a:xfrm flipV="1">
          <a:off x="13526764774" y="3982469"/>
          <a:ext cx="1353621" cy="144769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26131</xdr:colOff>
      <xdr:row>411</xdr:row>
      <xdr:rowOff>156790</xdr:rowOff>
    </xdr:from>
    <xdr:to>
      <xdr:col>4</xdr:col>
      <xdr:colOff>412881</xdr:colOff>
      <xdr:row>411</xdr:row>
      <xdr:rowOff>156790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A7878936-8F74-5F71-8BE3-6C455ACF4216}"/>
            </a:ext>
          </a:extLst>
        </xdr:cNvPr>
        <xdr:cNvCxnSpPr/>
      </xdr:nvCxnSpPr>
      <xdr:spPr>
        <a:xfrm>
          <a:off x="13525557490" y="5905761"/>
          <a:ext cx="1212511" cy="0"/>
        </a:xfrm>
        <a:prstGeom prst="line">
          <a:avLst/>
        </a:prstGeom>
        <a:ln w="28575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141112</xdr:colOff>
      <xdr:row>403</xdr:row>
      <xdr:rowOff>172469</xdr:rowOff>
    </xdr:from>
    <xdr:to>
      <xdr:col>3</xdr:col>
      <xdr:colOff>5227</xdr:colOff>
      <xdr:row>411</xdr:row>
      <xdr:rowOff>156790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9E359A77-9A9B-6F24-A8D8-A159E93421F1}"/>
            </a:ext>
          </a:extLst>
        </xdr:cNvPr>
        <xdr:cNvCxnSpPr/>
      </xdr:nvCxnSpPr>
      <xdr:spPr>
        <a:xfrm flipV="1">
          <a:off x="13526790905" y="4290823"/>
          <a:ext cx="1515638" cy="1614938"/>
        </a:xfrm>
        <a:prstGeom prst="line">
          <a:avLst/>
        </a:prstGeom>
        <a:ln w="28575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412881</xdr:colOff>
      <xdr:row>416</xdr:row>
      <xdr:rowOff>193374</xdr:rowOff>
    </xdr:from>
    <xdr:to>
      <xdr:col>4</xdr:col>
      <xdr:colOff>433787</xdr:colOff>
      <xdr:row>427</xdr:row>
      <xdr:rowOff>114980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152CE326-5D21-3B49-B689-C40BD02278F5}"/>
            </a:ext>
          </a:extLst>
        </xdr:cNvPr>
        <xdr:cNvCxnSpPr/>
      </xdr:nvCxnSpPr>
      <xdr:spPr>
        <a:xfrm flipV="1">
          <a:off x="13525536584" y="4719382"/>
          <a:ext cx="20906" cy="216370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16710</xdr:colOff>
      <xdr:row>421</xdr:row>
      <xdr:rowOff>92700</xdr:rowOff>
    </xdr:from>
    <xdr:to>
      <xdr:col>4</xdr:col>
      <xdr:colOff>440182</xdr:colOff>
      <xdr:row>421</xdr:row>
      <xdr:rowOff>94693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2D8CCA6B-DBDF-C543-B1BC-3CAFDB9BB666}"/>
            </a:ext>
          </a:extLst>
        </xdr:cNvPr>
        <xdr:cNvCxnSpPr/>
      </xdr:nvCxnSpPr>
      <xdr:spPr>
        <a:xfrm>
          <a:off x="13498055607" y="5573753"/>
          <a:ext cx="2896630" cy="199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44561</xdr:colOff>
      <xdr:row>421</xdr:row>
      <xdr:rowOff>122543</xdr:rowOff>
    </xdr:from>
    <xdr:to>
      <xdr:col>4</xdr:col>
      <xdr:colOff>419140</xdr:colOff>
      <xdr:row>421</xdr:row>
      <xdr:rowOff>122612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A98BAA1F-C941-DE46-86B5-679070814C0B}"/>
            </a:ext>
          </a:extLst>
        </xdr:cNvPr>
        <xdr:cNvCxnSpPr/>
      </xdr:nvCxnSpPr>
      <xdr:spPr>
        <a:xfrm flipV="1">
          <a:off x="13498076649" y="5603596"/>
          <a:ext cx="1198965" cy="6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506886</xdr:colOff>
      <xdr:row>421</xdr:row>
      <xdr:rowOff>128114</xdr:rowOff>
    </xdr:from>
    <xdr:to>
      <xdr:col>3</xdr:col>
      <xdr:colOff>50131</xdr:colOff>
      <xdr:row>425</xdr:row>
      <xdr:rowOff>22281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B300BCD1-F1C4-B40D-DEEA-B53D22AB5B79}"/>
            </a:ext>
          </a:extLst>
        </xdr:cNvPr>
        <xdr:cNvCxnSpPr/>
      </xdr:nvCxnSpPr>
      <xdr:spPr>
        <a:xfrm flipH="1" flipV="1">
          <a:off x="13499270044" y="5609167"/>
          <a:ext cx="1192017" cy="69627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818815</xdr:colOff>
      <xdr:row>419</xdr:row>
      <xdr:rowOff>66842</xdr:rowOff>
    </xdr:from>
    <xdr:to>
      <xdr:col>4</xdr:col>
      <xdr:colOff>395482</xdr:colOff>
      <xdr:row>419</xdr:row>
      <xdr:rowOff>66842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F287B003-AE8F-B3BE-B513-63ACA55FACAA}"/>
            </a:ext>
          </a:extLst>
        </xdr:cNvPr>
        <xdr:cNvCxnSpPr/>
      </xdr:nvCxnSpPr>
      <xdr:spPr>
        <a:xfrm>
          <a:off x="13498100307" y="5146842"/>
          <a:ext cx="1225439" cy="0"/>
        </a:xfrm>
        <a:prstGeom prst="line">
          <a:avLst/>
        </a:prstGeom>
        <a:ln w="28575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150394</xdr:colOff>
      <xdr:row>419</xdr:row>
      <xdr:rowOff>61272</xdr:rowOff>
    </xdr:from>
    <xdr:to>
      <xdr:col>3</xdr:col>
      <xdr:colOff>0</xdr:colOff>
      <xdr:row>423</xdr:row>
      <xdr:rowOff>94693</xdr:rowOff>
    </xdr:to>
    <xdr:cxnSp macro="">
      <xdr:nvCxnSpPr>
        <xdr:cNvPr id="33" name="Straight Connector 32">
          <a:extLst>
            <a:ext uri="{FF2B5EF4-FFF2-40B4-BE49-F238E27FC236}">
              <a16:creationId xmlns:a16="http://schemas.microsoft.com/office/drawing/2014/main" id="{B2926251-AB9F-DECF-C54F-A714B8B1363D}"/>
            </a:ext>
          </a:extLst>
        </xdr:cNvPr>
        <xdr:cNvCxnSpPr/>
      </xdr:nvCxnSpPr>
      <xdr:spPr>
        <a:xfrm>
          <a:off x="13499320175" y="5141272"/>
          <a:ext cx="1498378" cy="835526"/>
        </a:xfrm>
        <a:prstGeom prst="line">
          <a:avLst/>
        </a:prstGeom>
        <a:ln w="28575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7</xdr:col>
      <xdr:colOff>412881</xdr:colOff>
      <xdr:row>434</xdr:row>
      <xdr:rowOff>193374</xdr:rowOff>
    </xdr:from>
    <xdr:to>
      <xdr:col>7</xdr:col>
      <xdr:colOff>433787</xdr:colOff>
      <xdr:row>445</xdr:row>
      <xdr:rowOff>114980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EC0B6854-1CCD-5A42-9833-02A5F83CD843}"/>
            </a:ext>
          </a:extLst>
        </xdr:cNvPr>
        <xdr:cNvCxnSpPr/>
      </xdr:nvCxnSpPr>
      <xdr:spPr>
        <a:xfrm flipV="1">
          <a:off x="13531354563" y="4718520"/>
          <a:ext cx="20906" cy="215951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52264</xdr:colOff>
      <xdr:row>442</xdr:row>
      <xdr:rowOff>104527</xdr:rowOff>
    </xdr:from>
    <xdr:to>
      <xdr:col>7</xdr:col>
      <xdr:colOff>590577</xdr:colOff>
      <xdr:row>442</xdr:row>
      <xdr:rowOff>114980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6FA5439D-E986-2D46-94F0-CA14C6803173}"/>
            </a:ext>
          </a:extLst>
        </xdr:cNvPr>
        <xdr:cNvCxnSpPr/>
      </xdr:nvCxnSpPr>
      <xdr:spPr>
        <a:xfrm flipV="1">
          <a:off x="13531197773" y="6257245"/>
          <a:ext cx="3016662" cy="1045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32661</xdr:colOff>
      <xdr:row>442</xdr:row>
      <xdr:rowOff>83734</xdr:rowOff>
    </xdr:from>
    <xdr:to>
      <xdr:col>7</xdr:col>
      <xdr:colOff>419411</xdr:colOff>
      <xdr:row>442</xdr:row>
      <xdr:rowOff>83734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742740E4-D015-5A90-02BB-31B5FE3D08F3}"/>
            </a:ext>
          </a:extLst>
        </xdr:cNvPr>
        <xdr:cNvCxnSpPr/>
      </xdr:nvCxnSpPr>
      <xdr:spPr>
        <a:xfrm>
          <a:off x="13484510369" y="9331939"/>
          <a:ext cx="1210156" cy="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30825</xdr:colOff>
      <xdr:row>437</xdr:row>
      <xdr:rowOff>18496</xdr:rowOff>
    </xdr:from>
    <xdr:to>
      <xdr:col>6</xdr:col>
      <xdr:colOff>37215</xdr:colOff>
      <xdr:row>442</xdr:row>
      <xdr:rowOff>79084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4AAACB2D-F6C1-ADBA-7201-F1FF2392BB28}"/>
            </a:ext>
          </a:extLst>
        </xdr:cNvPr>
        <xdr:cNvCxnSpPr/>
      </xdr:nvCxnSpPr>
      <xdr:spPr>
        <a:xfrm flipV="1">
          <a:off x="13485715971" y="8243258"/>
          <a:ext cx="829797" cy="1084031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471892</xdr:colOff>
      <xdr:row>437</xdr:row>
      <xdr:rowOff>9640</xdr:rowOff>
    </xdr:from>
    <xdr:to>
      <xdr:col>5</xdr:col>
      <xdr:colOff>32526</xdr:colOff>
      <xdr:row>437</xdr:row>
      <xdr:rowOff>9640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386E7AED-BF15-74ED-FA8D-BB9F453F9285}"/>
            </a:ext>
          </a:extLst>
        </xdr:cNvPr>
        <xdr:cNvCxnSpPr/>
      </xdr:nvCxnSpPr>
      <xdr:spPr>
        <a:xfrm>
          <a:off x="13530929707" y="8196824"/>
          <a:ext cx="1212867" cy="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30826</xdr:colOff>
      <xdr:row>443</xdr:row>
      <xdr:rowOff>135631</xdr:rowOff>
    </xdr:from>
    <xdr:to>
      <xdr:col>7</xdr:col>
      <xdr:colOff>419223</xdr:colOff>
      <xdr:row>443</xdr:row>
      <xdr:rowOff>135631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F97E86B7-60D2-E48C-483E-7B3C7AEBBB51}"/>
            </a:ext>
          </a:extLst>
        </xdr:cNvPr>
        <xdr:cNvCxnSpPr/>
      </xdr:nvCxnSpPr>
      <xdr:spPr>
        <a:xfrm>
          <a:off x="13528890777" y="9543495"/>
          <a:ext cx="1214514" cy="0"/>
        </a:xfrm>
        <a:prstGeom prst="line">
          <a:avLst/>
        </a:prstGeom>
        <a:ln w="28575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24660</xdr:colOff>
      <xdr:row>438</xdr:row>
      <xdr:rowOff>147961</xdr:rowOff>
    </xdr:from>
    <xdr:to>
      <xdr:col>6</xdr:col>
      <xdr:colOff>23723</xdr:colOff>
      <xdr:row>443</xdr:row>
      <xdr:rowOff>144461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E65BA25E-49B4-DEB9-7ADE-E635BD8DFFAE}"/>
            </a:ext>
          </a:extLst>
        </xdr:cNvPr>
        <xdr:cNvCxnSpPr/>
      </xdr:nvCxnSpPr>
      <xdr:spPr>
        <a:xfrm flipV="1">
          <a:off x="13530112394" y="8538592"/>
          <a:ext cx="825179" cy="1013733"/>
        </a:xfrm>
        <a:prstGeom prst="line">
          <a:avLst/>
        </a:prstGeom>
        <a:ln w="28575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474709</xdr:colOff>
      <xdr:row>438</xdr:row>
      <xdr:rowOff>135631</xdr:rowOff>
    </xdr:from>
    <xdr:to>
      <xdr:col>5</xdr:col>
      <xdr:colOff>30825</xdr:colOff>
      <xdr:row>438</xdr:row>
      <xdr:rowOff>141796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BD52107A-C7D9-E6F0-9670-DC238C3B55C0}"/>
            </a:ext>
          </a:extLst>
        </xdr:cNvPr>
        <xdr:cNvCxnSpPr/>
      </xdr:nvCxnSpPr>
      <xdr:spPr>
        <a:xfrm flipV="1">
          <a:off x="13530931408" y="8526262"/>
          <a:ext cx="1208349" cy="6165"/>
        </a:xfrm>
        <a:prstGeom prst="line">
          <a:avLst/>
        </a:prstGeom>
        <a:ln w="28575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177654</xdr:colOff>
      <xdr:row>473</xdr:row>
      <xdr:rowOff>26681</xdr:rowOff>
    </xdr:from>
    <xdr:to>
      <xdr:col>5</xdr:col>
      <xdr:colOff>395088</xdr:colOff>
      <xdr:row>478</xdr:row>
      <xdr:rowOff>141834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2ACE6209-D691-C601-531D-71B59ECB3E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46689577" y="14882479"/>
          <a:ext cx="1044534" cy="1129018"/>
        </a:xfrm>
        <a:prstGeom prst="rect">
          <a:avLst/>
        </a:prstGeom>
      </xdr:spPr>
    </xdr:pic>
    <xdr:clientData/>
  </xdr:twoCellAnchor>
  <xdr:twoCellAnchor>
    <xdr:from>
      <xdr:col>5</xdr:col>
      <xdr:colOff>517605</xdr:colOff>
      <xdr:row>471</xdr:row>
      <xdr:rowOff>69370</xdr:rowOff>
    </xdr:from>
    <xdr:to>
      <xdr:col>8</xdr:col>
      <xdr:colOff>661680</xdr:colOff>
      <xdr:row>476</xdr:row>
      <xdr:rowOff>96050</xdr:rowOff>
    </xdr:to>
    <xdr:sp macro="" textlink="">
      <xdr:nvSpPr>
        <xdr:cNvPr id="63" name="Rounded Rectangular Callout 62">
          <a:extLst>
            <a:ext uri="{FF2B5EF4-FFF2-40B4-BE49-F238E27FC236}">
              <a16:creationId xmlns:a16="http://schemas.microsoft.com/office/drawing/2014/main" id="{5FCF62AE-21EE-B8F5-9B87-D077422FFC65}"/>
            </a:ext>
          </a:extLst>
        </xdr:cNvPr>
        <xdr:cNvSpPr/>
      </xdr:nvSpPr>
      <xdr:spPr>
        <a:xfrm>
          <a:off x="13543941681" y="14508950"/>
          <a:ext cx="2625378" cy="1051218"/>
        </a:xfrm>
        <a:prstGeom prst="wedgeRoundRectCallout">
          <a:avLst>
            <a:gd name="adj1" fmla="val 67175"/>
            <a:gd name="adj2" fmla="val 28490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אחים שלי עזבו את המרצה סתם חופר:</a:t>
          </a:r>
        </a:p>
        <a:p>
          <a:pPr algn="r" rtl="1"/>
          <a:r>
            <a:rPr lang="he-IL" sz="1100"/>
            <a:t>קונים </a:t>
          </a:r>
          <a:r>
            <a:rPr lang="en-US" sz="1100"/>
            <a:t>Call</a:t>
          </a:r>
          <a:r>
            <a:rPr lang="he-IL" sz="1100"/>
            <a:t> בנמוך,</a:t>
          </a:r>
          <a:r>
            <a:rPr lang="he-IL" sz="1100" baseline="0"/>
            <a:t> </a:t>
          </a:r>
        </a:p>
        <a:p>
          <a:pPr algn="r" rtl="1"/>
          <a:r>
            <a:rPr lang="he-IL" sz="1100" baseline="0"/>
            <a:t>כותבים </a:t>
          </a:r>
          <a:r>
            <a:rPr lang="en-US" sz="1100" baseline="0"/>
            <a:t>Call</a:t>
          </a:r>
          <a:r>
            <a:rPr lang="he-IL" sz="1100" baseline="0"/>
            <a:t> בגבוה,</a:t>
          </a:r>
        </a:p>
        <a:p>
          <a:pPr algn="r" rtl="1"/>
          <a:r>
            <a:rPr lang="he-IL" sz="1100" baseline="0"/>
            <a:t>בום מרווח עולה</a:t>
          </a:r>
          <a:endParaRPr lang="en-US" sz="1100"/>
        </a:p>
      </xdr:txBody>
    </xdr:sp>
    <xdr:clientData/>
  </xdr:twoCellAnchor>
  <xdr:twoCellAnchor>
    <xdr:from>
      <xdr:col>4</xdr:col>
      <xdr:colOff>591780</xdr:colOff>
      <xdr:row>517</xdr:row>
      <xdr:rowOff>206125</xdr:rowOff>
    </xdr:from>
    <xdr:to>
      <xdr:col>4</xdr:col>
      <xdr:colOff>605078</xdr:colOff>
      <xdr:row>529</xdr:row>
      <xdr:rowOff>93089</xdr:rowOff>
    </xdr:to>
    <xdr:cxnSp macro="">
      <xdr:nvCxnSpPr>
        <xdr:cNvPr id="65" name="Straight Arrow Connector 64">
          <a:extLst>
            <a:ext uri="{FF2B5EF4-FFF2-40B4-BE49-F238E27FC236}">
              <a16:creationId xmlns:a16="http://schemas.microsoft.com/office/drawing/2014/main" id="{C5EEF522-E103-DA3A-DE64-ABBB45BA68D1}"/>
            </a:ext>
          </a:extLst>
        </xdr:cNvPr>
        <xdr:cNvCxnSpPr/>
      </xdr:nvCxnSpPr>
      <xdr:spPr>
        <a:xfrm flipV="1">
          <a:off x="13498976283" y="19435654"/>
          <a:ext cx="13298" cy="236047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638324</xdr:colOff>
      <xdr:row>525</xdr:row>
      <xdr:rowOff>113037</xdr:rowOff>
    </xdr:from>
    <xdr:to>
      <xdr:col>4</xdr:col>
      <xdr:colOff>751361</xdr:colOff>
      <xdr:row>525</xdr:row>
      <xdr:rowOff>119686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064EA243-20D3-0D2B-E7FE-F29094A9DEE4}"/>
            </a:ext>
          </a:extLst>
        </xdr:cNvPr>
        <xdr:cNvCxnSpPr/>
      </xdr:nvCxnSpPr>
      <xdr:spPr>
        <a:xfrm>
          <a:off x="13498830000" y="20991571"/>
          <a:ext cx="2586545" cy="664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79790</xdr:colOff>
      <xdr:row>528</xdr:row>
      <xdr:rowOff>113037</xdr:rowOff>
    </xdr:from>
    <xdr:to>
      <xdr:col>4</xdr:col>
      <xdr:colOff>598429</xdr:colOff>
      <xdr:row>528</xdr:row>
      <xdr:rowOff>113037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E547AB23-E4B1-EF7A-7945-620A72D0DF28}"/>
            </a:ext>
          </a:extLst>
        </xdr:cNvPr>
        <xdr:cNvCxnSpPr/>
      </xdr:nvCxnSpPr>
      <xdr:spPr>
        <a:xfrm>
          <a:off x="13498982932" y="21609948"/>
          <a:ext cx="1343142" cy="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452146</xdr:colOff>
      <xdr:row>522</xdr:row>
      <xdr:rowOff>152932</xdr:rowOff>
    </xdr:from>
    <xdr:to>
      <xdr:col>2</xdr:col>
      <xdr:colOff>452146</xdr:colOff>
      <xdr:row>522</xdr:row>
      <xdr:rowOff>159581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1A4FBEC0-C3CD-DCEE-5C79-7312DE791625}"/>
            </a:ext>
          </a:extLst>
        </xdr:cNvPr>
        <xdr:cNvCxnSpPr/>
      </xdr:nvCxnSpPr>
      <xdr:spPr>
        <a:xfrm>
          <a:off x="13500778220" y="20413089"/>
          <a:ext cx="824503" cy="664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452146</xdr:colOff>
      <xdr:row>522</xdr:row>
      <xdr:rowOff>152932</xdr:rowOff>
    </xdr:from>
    <xdr:to>
      <xdr:col>3</xdr:col>
      <xdr:colOff>106388</xdr:colOff>
      <xdr:row>528</xdr:row>
      <xdr:rowOff>132984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A24640CF-421C-0FB8-8781-38D08853AB50}"/>
            </a:ext>
          </a:extLst>
        </xdr:cNvPr>
        <xdr:cNvCxnSpPr/>
      </xdr:nvCxnSpPr>
      <xdr:spPr>
        <a:xfrm flipV="1">
          <a:off x="13500299476" y="20413089"/>
          <a:ext cx="478744" cy="121680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571831</xdr:colOff>
      <xdr:row>525</xdr:row>
      <xdr:rowOff>99737</xdr:rowOff>
    </xdr:from>
    <xdr:ext cx="242914" cy="19947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E949C3BD-3780-AE8A-A010-BEE8CDB834FB}"/>
                </a:ext>
              </a:extLst>
            </xdr:cNvPr>
            <xdr:cNvSpPr txBox="1"/>
          </xdr:nvSpPr>
          <xdr:spPr>
            <a:xfrm>
              <a:off x="13500415621" y="20978271"/>
              <a:ext cx="242914" cy="19947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E949C3BD-3780-AE8A-A010-BEE8CDB834FB}"/>
                </a:ext>
              </a:extLst>
            </xdr:cNvPr>
            <xdr:cNvSpPr txBox="1"/>
          </xdr:nvSpPr>
          <xdr:spPr>
            <a:xfrm>
              <a:off x="13500415621" y="20978271"/>
              <a:ext cx="242914" cy="19947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70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113037</xdr:colOff>
      <xdr:row>525</xdr:row>
      <xdr:rowOff>132984</xdr:rowOff>
    </xdr:from>
    <xdr:to>
      <xdr:col>3</xdr:col>
      <xdr:colOff>119686</xdr:colOff>
      <xdr:row>528</xdr:row>
      <xdr:rowOff>119686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F4D33456-E24C-0A1D-5FC8-5ADE10BBFADD}"/>
            </a:ext>
          </a:extLst>
        </xdr:cNvPr>
        <xdr:cNvCxnSpPr/>
      </xdr:nvCxnSpPr>
      <xdr:spPr>
        <a:xfrm flipV="1">
          <a:off x="13500286178" y="21011518"/>
          <a:ext cx="6649" cy="605079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432199</xdr:colOff>
      <xdr:row>522</xdr:row>
      <xdr:rowOff>126335</xdr:rowOff>
    </xdr:from>
    <xdr:to>
      <xdr:col>2</xdr:col>
      <xdr:colOff>438848</xdr:colOff>
      <xdr:row>525</xdr:row>
      <xdr:rowOff>113037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8AC80B9E-E83B-DBD1-BDE8-78701BB7C8F2}"/>
            </a:ext>
          </a:extLst>
        </xdr:cNvPr>
        <xdr:cNvCxnSpPr/>
      </xdr:nvCxnSpPr>
      <xdr:spPr>
        <a:xfrm flipV="1">
          <a:off x="13500791518" y="20386492"/>
          <a:ext cx="6649" cy="605079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19948</xdr:colOff>
      <xdr:row>524</xdr:row>
      <xdr:rowOff>179528</xdr:rowOff>
    </xdr:from>
    <xdr:ext cx="242914" cy="19947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8812D71E-00A3-6558-6712-EBCB52139674}"/>
                </a:ext>
              </a:extLst>
            </xdr:cNvPr>
            <xdr:cNvSpPr txBox="1"/>
          </xdr:nvSpPr>
          <xdr:spPr>
            <a:xfrm>
              <a:off x="13500143002" y="20851936"/>
              <a:ext cx="242914" cy="19947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8812D71E-00A3-6558-6712-EBCB52139674}"/>
                </a:ext>
              </a:extLst>
            </xdr:cNvPr>
            <xdr:cNvSpPr txBox="1"/>
          </xdr:nvSpPr>
          <xdr:spPr>
            <a:xfrm>
              <a:off x="13500143002" y="20851936"/>
              <a:ext cx="242914" cy="19947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239371</xdr:colOff>
      <xdr:row>525</xdr:row>
      <xdr:rowOff>126334</xdr:rowOff>
    </xdr:from>
    <xdr:ext cx="242914" cy="19947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0E851E33-07DB-8970-8D83-F7A5184DFA0B}"/>
                </a:ext>
              </a:extLst>
            </xdr:cNvPr>
            <xdr:cNvSpPr txBox="1"/>
          </xdr:nvSpPr>
          <xdr:spPr>
            <a:xfrm>
              <a:off x="13500748081" y="21004868"/>
              <a:ext cx="242914" cy="19947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0E851E33-07DB-8970-8D83-F7A5184DFA0B}"/>
                </a:ext>
              </a:extLst>
            </xdr:cNvPr>
            <xdr:cNvSpPr txBox="1"/>
          </xdr:nvSpPr>
          <xdr:spPr>
            <a:xfrm>
              <a:off x="13500748081" y="21004868"/>
              <a:ext cx="242914" cy="19947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793750</xdr:colOff>
      <xdr:row>564</xdr:row>
      <xdr:rowOff>181429</xdr:rowOff>
    </xdr:from>
    <xdr:to>
      <xdr:col>7</xdr:col>
      <xdr:colOff>264583</xdr:colOff>
      <xdr:row>580</xdr:row>
      <xdr:rowOff>52916</xdr:rowOff>
    </xdr:to>
    <xdr:graphicFrame macro="">
      <xdr:nvGraphicFramePr>
        <xdr:cNvPr id="83" name="Chart 82">
          <a:extLst>
            <a:ext uri="{FF2B5EF4-FFF2-40B4-BE49-F238E27FC236}">
              <a16:creationId xmlns:a16="http://schemas.microsoft.com/office/drawing/2014/main" id="{E248C9F7-1C92-9D71-FE12-BE27F986628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</xdr:col>
      <xdr:colOff>135314</xdr:colOff>
      <xdr:row>616</xdr:row>
      <xdr:rowOff>186418</xdr:rowOff>
    </xdr:from>
    <xdr:to>
      <xdr:col>7</xdr:col>
      <xdr:colOff>588886</xdr:colOff>
      <xdr:row>630</xdr:row>
      <xdr:rowOff>64558</xdr:rowOff>
    </xdr:to>
    <xdr:graphicFrame macro="">
      <xdr:nvGraphicFramePr>
        <xdr:cNvPr id="84" name="Chart 83">
          <a:extLst>
            <a:ext uri="{FF2B5EF4-FFF2-40B4-BE49-F238E27FC236}">
              <a16:creationId xmlns:a16="http://schemas.microsoft.com/office/drawing/2014/main" id="{297B41B4-47BE-E7F5-7D85-BA879D4A83F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0</xdr:colOff>
      <xdr:row>325</xdr:row>
      <xdr:rowOff>120455</xdr:rowOff>
    </xdr:from>
    <xdr:to>
      <xdr:col>4</xdr:col>
      <xdr:colOff>120650</xdr:colOff>
      <xdr:row>336</xdr:row>
      <xdr:rowOff>63500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D9572F2-FFAD-544D-BAE7-BBEC713B0AE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</xdr:col>
      <xdr:colOff>463550</xdr:colOff>
      <xdr:row>371</xdr:row>
      <xdr:rowOff>63500</xdr:rowOff>
    </xdr:from>
    <xdr:to>
      <xdr:col>6</xdr:col>
      <xdr:colOff>609600</xdr:colOff>
      <xdr:row>382</xdr:row>
      <xdr:rowOff>171450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A8C93FC5-5420-4045-AD24-EF594F70BB7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3</xdr:col>
      <xdr:colOff>609600</xdr:colOff>
      <xdr:row>185</xdr:row>
      <xdr:rowOff>171450</xdr:rowOff>
    </xdr:from>
    <xdr:to>
      <xdr:col>3</xdr:col>
      <xdr:colOff>609600</xdr:colOff>
      <xdr:row>197</xdr:row>
      <xdr:rowOff>88900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14C617A9-C8BC-DE4E-B0DB-41B43C3A2416}"/>
            </a:ext>
          </a:extLst>
        </xdr:cNvPr>
        <xdr:cNvCxnSpPr/>
      </xdr:nvCxnSpPr>
      <xdr:spPr>
        <a:xfrm flipV="1">
          <a:off x="13522159900" y="56064150"/>
          <a:ext cx="0" cy="23558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260350</xdr:colOff>
      <xdr:row>192</xdr:row>
      <xdr:rowOff>114300</xdr:rowOff>
    </xdr:from>
    <xdr:to>
      <xdr:col>3</xdr:col>
      <xdr:colOff>685800</xdr:colOff>
      <xdr:row>192</xdr:row>
      <xdr:rowOff>133350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4E16423F-C19A-094A-BC35-7103645E3E20}"/>
            </a:ext>
          </a:extLst>
        </xdr:cNvPr>
        <xdr:cNvCxnSpPr/>
      </xdr:nvCxnSpPr>
      <xdr:spPr>
        <a:xfrm flipH="1" flipV="1">
          <a:off x="13522083700" y="57429400"/>
          <a:ext cx="2343150" cy="190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749300</xdr:colOff>
      <xdr:row>189</xdr:row>
      <xdr:rowOff>82550</xdr:rowOff>
    </xdr:from>
    <xdr:to>
      <xdr:col>3</xdr:col>
      <xdr:colOff>615950</xdr:colOff>
      <xdr:row>194</xdr:row>
      <xdr:rowOff>165100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1BDDDA5-49BB-2A47-8E13-E81717C52D3B}"/>
            </a:ext>
          </a:extLst>
        </xdr:cNvPr>
        <xdr:cNvCxnSpPr/>
      </xdr:nvCxnSpPr>
      <xdr:spPr>
        <a:xfrm flipH="1" flipV="1">
          <a:off x="13522153550" y="56788050"/>
          <a:ext cx="882650" cy="1098550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812800</xdr:colOff>
      <xdr:row>194</xdr:row>
      <xdr:rowOff>158750</xdr:rowOff>
    </xdr:from>
    <xdr:to>
      <xdr:col>2</xdr:col>
      <xdr:colOff>762000</xdr:colOff>
      <xdr:row>194</xdr:row>
      <xdr:rowOff>165100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D59CD1D6-0DEB-0247-8097-46D97720A199}"/>
            </a:ext>
          </a:extLst>
        </xdr:cNvPr>
        <xdr:cNvCxnSpPr/>
      </xdr:nvCxnSpPr>
      <xdr:spPr>
        <a:xfrm flipH="1" flipV="1">
          <a:off x="13523023500" y="57880250"/>
          <a:ext cx="850900" cy="6350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63500</xdr:colOff>
      <xdr:row>187</xdr:row>
      <xdr:rowOff>76200</xdr:rowOff>
    </xdr:from>
    <xdr:to>
      <xdr:col>1</xdr:col>
      <xdr:colOff>806450</xdr:colOff>
      <xdr:row>194</xdr:row>
      <xdr:rowOff>171450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73B553C7-B8B3-304B-8C06-C94544D8682E}"/>
            </a:ext>
          </a:extLst>
        </xdr:cNvPr>
        <xdr:cNvCxnSpPr/>
      </xdr:nvCxnSpPr>
      <xdr:spPr>
        <a:xfrm flipV="1">
          <a:off x="13523880750" y="56375300"/>
          <a:ext cx="742950" cy="1517650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394794</xdr:colOff>
      <xdr:row>35</xdr:row>
      <xdr:rowOff>161723</xdr:rowOff>
    </xdr:from>
    <xdr:to>
      <xdr:col>24</xdr:col>
      <xdr:colOff>404307</xdr:colOff>
      <xdr:row>51</xdr:row>
      <xdr:rowOff>109401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8635F7AB-626C-B3CB-364E-B80674C22C8C}"/>
            </a:ext>
          </a:extLst>
        </xdr:cNvPr>
        <xdr:cNvCxnSpPr/>
      </xdr:nvCxnSpPr>
      <xdr:spPr>
        <a:xfrm flipV="1">
          <a:off x="13549725131" y="7396442"/>
          <a:ext cx="9513" cy="322018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761049</xdr:colOff>
      <xdr:row>45</xdr:row>
      <xdr:rowOff>118914</xdr:rowOff>
    </xdr:from>
    <xdr:to>
      <xdr:col>24</xdr:col>
      <xdr:colOff>703970</xdr:colOff>
      <xdr:row>45</xdr:row>
      <xdr:rowOff>123671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76D3328F-DADA-F288-8BF1-1BF72347E381}"/>
            </a:ext>
          </a:extLst>
        </xdr:cNvPr>
        <xdr:cNvCxnSpPr/>
      </xdr:nvCxnSpPr>
      <xdr:spPr>
        <a:xfrm flipV="1">
          <a:off x="13549425468" y="9398951"/>
          <a:ext cx="3253483" cy="475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318689</xdr:colOff>
      <xdr:row>39</xdr:row>
      <xdr:rowOff>61836</xdr:rowOff>
    </xdr:from>
    <xdr:to>
      <xdr:col>24</xdr:col>
      <xdr:colOff>489925</xdr:colOff>
      <xdr:row>40</xdr:row>
      <xdr:rowOff>42809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935D67E5-3F5B-82C8-11A0-5EFC6B9A84B2}"/>
            </a:ext>
          </a:extLst>
        </xdr:cNvPr>
        <xdr:cNvSpPr/>
      </xdr:nvSpPr>
      <xdr:spPr>
        <a:xfrm>
          <a:off x="13549639513" y="8114682"/>
          <a:ext cx="171236" cy="18550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24</xdr:col>
      <xdr:colOff>499437</xdr:colOff>
      <xdr:row>39</xdr:row>
      <xdr:rowOff>68400</xdr:rowOff>
    </xdr:from>
    <xdr:ext cx="2524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94CE3B8A-8C58-AC36-34C4-218F5137464D}"/>
                </a:ext>
              </a:extLst>
            </xdr:cNvPr>
            <xdr:cNvSpPr txBox="1"/>
          </xdr:nvSpPr>
          <xdr:spPr>
            <a:xfrm>
              <a:off x="13549377523" y="8121246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94CE3B8A-8C58-AC36-34C4-218F5137464D}"/>
                </a:ext>
              </a:extLst>
            </xdr:cNvPr>
            <xdr:cNvSpPr txBox="1"/>
          </xdr:nvSpPr>
          <xdr:spPr>
            <a:xfrm>
              <a:off x="13549377523" y="8121246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24</xdr:col>
      <xdr:colOff>318689</xdr:colOff>
      <xdr:row>49</xdr:row>
      <xdr:rowOff>185506</xdr:rowOff>
    </xdr:from>
    <xdr:to>
      <xdr:col>24</xdr:col>
      <xdr:colOff>489925</xdr:colOff>
      <xdr:row>50</xdr:row>
      <xdr:rowOff>166479</xdr:rowOff>
    </xdr:to>
    <xdr:sp macro="" textlink="">
      <xdr:nvSpPr>
        <xdr:cNvPr id="28" name="Oval 27">
          <a:extLst>
            <a:ext uri="{FF2B5EF4-FFF2-40B4-BE49-F238E27FC236}">
              <a16:creationId xmlns:a16="http://schemas.microsoft.com/office/drawing/2014/main" id="{6DFD7D5A-68CD-E74C-9D60-C5F85BF4DA38}"/>
            </a:ext>
          </a:extLst>
        </xdr:cNvPr>
        <xdr:cNvSpPr/>
      </xdr:nvSpPr>
      <xdr:spPr>
        <a:xfrm>
          <a:off x="13549639513" y="10283671"/>
          <a:ext cx="171236" cy="18550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24</xdr:col>
      <xdr:colOff>533114</xdr:colOff>
      <xdr:row>49</xdr:row>
      <xdr:rowOff>201582</xdr:rowOff>
    </xdr:from>
    <xdr:ext cx="2524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BCB2E632-0DCB-014D-AEAA-7F3EBE1E2078}"/>
                </a:ext>
              </a:extLst>
            </xdr:cNvPr>
            <xdr:cNvSpPr txBox="1"/>
          </xdr:nvSpPr>
          <xdr:spPr>
            <a:xfrm>
              <a:off x="13549343846" y="10299747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−18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BCB2E632-0DCB-014D-AEAA-7F3EBE1E2078}"/>
                </a:ext>
              </a:extLst>
            </xdr:cNvPr>
            <xdr:cNvSpPr txBox="1"/>
          </xdr:nvSpPr>
          <xdr:spPr>
            <a:xfrm>
              <a:off x="13549343846" y="10299747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−18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23</xdr:col>
      <xdr:colOff>418577</xdr:colOff>
      <xdr:row>49</xdr:row>
      <xdr:rowOff>180750</xdr:rowOff>
    </xdr:from>
    <xdr:to>
      <xdr:col>23</xdr:col>
      <xdr:colOff>589813</xdr:colOff>
      <xdr:row>50</xdr:row>
      <xdr:rowOff>161723</xdr:rowOff>
    </xdr:to>
    <xdr:sp macro="" textlink="">
      <xdr:nvSpPr>
        <xdr:cNvPr id="32" name="Oval 31">
          <a:extLst>
            <a:ext uri="{FF2B5EF4-FFF2-40B4-BE49-F238E27FC236}">
              <a16:creationId xmlns:a16="http://schemas.microsoft.com/office/drawing/2014/main" id="{23BE7E1F-AA1F-F43F-BC65-B10004FB4594}"/>
            </a:ext>
          </a:extLst>
        </xdr:cNvPr>
        <xdr:cNvSpPr/>
      </xdr:nvSpPr>
      <xdr:spPr>
        <a:xfrm>
          <a:off x="13550367265" y="10278915"/>
          <a:ext cx="171236" cy="18550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23</xdr:col>
      <xdr:colOff>564736</xdr:colOff>
      <xdr:row>40</xdr:row>
      <xdr:rowOff>15642</xdr:rowOff>
    </xdr:from>
    <xdr:to>
      <xdr:col>24</xdr:col>
      <xdr:colOff>343766</xdr:colOff>
      <xdr:row>50</xdr:row>
      <xdr:rowOff>3385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C9D17C16-4E6C-AABE-0D55-05CAE38AE451}"/>
            </a:ext>
          </a:extLst>
        </xdr:cNvPr>
        <xdr:cNvCxnSpPr>
          <a:stCxn id="26" idx="5"/>
          <a:endCxn id="32" idx="1"/>
        </xdr:cNvCxnSpPr>
      </xdr:nvCxnSpPr>
      <xdr:spPr>
        <a:xfrm>
          <a:off x="13549785672" y="8273020"/>
          <a:ext cx="606670" cy="2071114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22</xdr:col>
      <xdr:colOff>551760</xdr:colOff>
      <xdr:row>50</xdr:row>
      <xdr:rowOff>68971</xdr:rowOff>
    </xdr:from>
    <xdr:to>
      <xdr:col>23</xdr:col>
      <xdr:colOff>418577</xdr:colOff>
      <xdr:row>50</xdr:row>
      <xdr:rowOff>71348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AB573230-5C1A-46CD-D021-76D40F9EC553}"/>
            </a:ext>
          </a:extLst>
        </xdr:cNvPr>
        <xdr:cNvCxnSpPr>
          <a:stCxn id="32" idx="6"/>
        </xdr:cNvCxnSpPr>
      </xdr:nvCxnSpPr>
      <xdr:spPr>
        <a:xfrm>
          <a:off x="13550538501" y="10409720"/>
          <a:ext cx="694458" cy="2377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22</xdr:col>
      <xdr:colOff>404309</xdr:colOff>
      <xdr:row>49</xdr:row>
      <xdr:rowOff>195018</xdr:rowOff>
    </xdr:from>
    <xdr:to>
      <xdr:col>22</xdr:col>
      <xdr:colOff>575545</xdr:colOff>
      <xdr:row>50</xdr:row>
      <xdr:rowOff>175991</xdr:rowOff>
    </xdr:to>
    <xdr:sp macro="" textlink="">
      <xdr:nvSpPr>
        <xdr:cNvPr id="46" name="Oval 45">
          <a:extLst>
            <a:ext uri="{FF2B5EF4-FFF2-40B4-BE49-F238E27FC236}">
              <a16:creationId xmlns:a16="http://schemas.microsoft.com/office/drawing/2014/main" id="{9B1CBC47-8448-D36D-7480-6658D5750B1B}"/>
            </a:ext>
          </a:extLst>
        </xdr:cNvPr>
        <xdr:cNvSpPr/>
      </xdr:nvSpPr>
      <xdr:spPr>
        <a:xfrm>
          <a:off x="13551209174" y="10331235"/>
          <a:ext cx="171236" cy="18550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20</xdr:col>
      <xdr:colOff>418577</xdr:colOff>
      <xdr:row>31</xdr:row>
      <xdr:rowOff>85618</xdr:rowOff>
    </xdr:from>
    <xdr:to>
      <xdr:col>22</xdr:col>
      <xdr:colOff>429386</xdr:colOff>
      <xdr:row>50</xdr:row>
      <xdr:rowOff>17653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7022D36A-3914-9213-B93E-04924F676B97}"/>
            </a:ext>
          </a:extLst>
        </xdr:cNvPr>
        <xdr:cNvCxnSpPr>
          <a:endCxn id="46" idx="7"/>
        </xdr:cNvCxnSpPr>
      </xdr:nvCxnSpPr>
      <xdr:spPr>
        <a:xfrm flipH="1">
          <a:off x="13551355333" y="6483184"/>
          <a:ext cx="1666090" cy="387521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23</xdr:col>
      <xdr:colOff>320561</xdr:colOff>
      <xdr:row>44</xdr:row>
      <xdr:rowOff>137817</xdr:rowOff>
    </xdr:from>
    <xdr:ext cx="2524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012BDAEA-BD3E-D973-F638-7FEDA5E65E24}"/>
                </a:ext>
              </a:extLst>
            </xdr:cNvPr>
            <xdr:cNvSpPr txBox="1"/>
          </xdr:nvSpPr>
          <xdr:spPr>
            <a:xfrm>
              <a:off x="13484887421" y="9181917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012BDAEA-BD3E-D973-F638-7FEDA5E65E24}"/>
                </a:ext>
              </a:extLst>
            </xdr:cNvPr>
            <xdr:cNvSpPr txBox="1"/>
          </xdr:nvSpPr>
          <xdr:spPr>
            <a:xfrm>
              <a:off x="13484887421" y="9181917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23</xdr:col>
      <xdr:colOff>488870</xdr:colOff>
      <xdr:row>45</xdr:row>
      <xdr:rowOff>159414</xdr:rowOff>
    </xdr:from>
    <xdr:to>
      <xdr:col>23</xdr:col>
      <xdr:colOff>504195</xdr:colOff>
      <xdr:row>49</xdr:row>
      <xdr:rowOff>180750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B85D4F78-53D1-241A-A763-EBD6385E0A1C}"/>
            </a:ext>
          </a:extLst>
        </xdr:cNvPr>
        <xdr:cNvCxnSpPr>
          <a:endCxn id="32" idx="0"/>
        </xdr:cNvCxnSpPr>
      </xdr:nvCxnSpPr>
      <xdr:spPr>
        <a:xfrm flipH="1">
          <a:off x="13484956265" y="9421381"/>
          <a:ext cx="15325" cy="844976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22</xdr:col>
      <xdr:colOff>344545</xdr:colOff>
      <xdr:row>44</xdr:row>
      <xdr:rowOff>143131</xdr:rowOff>
    </xdr:from>
    <xdr:ext cx="2524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00BB5006-639D-C743-A510-014AEC5A9A49}"/>
                </a:ext>
              </a:extLst>
            </xdr:cNvPr>
            <xdr:cNvSpPr txBox="1"/>
          </xdr:nvSpPr>
          <xdr:spPr>
            <a:xfrm>
              <a:off x="13485687077" y="9187231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00BB5006-639D-C743-A510-014AEC5A9A49}"/>
                </a:ext>
              </a:extLst>
            </xdr:cNvPr>
            <xdr:cNvSpPr txBox="1"/>
          </xdr:nvSpPr>
          <xdr:spPr>
            <a:xfrm>
              <a:off x="13485687077" y="9187231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22</xdr:col>
      <xdr:colOff>472928</xdr:colOff>
      <xdr:row>45</xdr:row>
      <xdr:rowOff>127531</xdr:rowOff>
    </xdr:from>
    <xdr:to>
      <xdr:col>22</xdr:col>
      <xdr:colOff>488253</xdr:colOff>
      <xdr:row>49</xdr:row>
      <xdr:rowOff>148867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56956EF8-D145-6395-EB8F-97F417A47963}"/>
            </a:ext>
          </a:extLst>
        </xdr:cNvPr>
        <xdr:cNvCxnSpPr/>
      </xdr:nvCxnSpPr>
      <xdr:spPr>
        <a:xfrm flipH="1">
          <a:off x="13485795847" y="9389498"/>
          <a:ext cx="15325" cy="844976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24</xdr:col>
      <xdr:colOff>159414</xdr:colOff>
      <xdr:row>58</xdr:row>
      <xdr:rowOff>7758</xdr:rowOff>
    </xdr:from>
    <xdr:ext cx="141324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A66FB0B2-424A-7F56-1E45-21CA93F43A81}"/>
                </a:ext>
              </a:extLst>
            </xdr:cNvPr>
            <xdr:cNvSpPr txBox="1"/>
          </xdr:nvSpPr>
          <xdr:spPr>
            <a:xfrm>
              <a:off x="13483064160" y="11926628"/>
              <a:ext cx="141324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40≤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≤60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A66FB0B2-424A-7F56-1E45-21CA93F43A81}"/>
                </a:ext>
              </a:extLst>
            </xdr:cNvPr>
            <xdr:cNvSpPr txBox="1"/>
          </xdr:nvSpPr>
          <xdr:spPr>
            <a:xfrm>
              <a:off x="13483064160" y="11926628"/>
              <a:ext cx="141324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40≤𝑠𝑡≤60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23</xdr:col>
      <xdr:colOff>796216</xdr:colOff>
      <xdr:row>45</xdr:row>
      <xdr:rowOff>125713</xdr:rowOff>
    </xdr:from>
    <xdr:ext cx="2524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3E4AF0C3-AB1C-5EFF-F39B-88A656D9FAB1}"/>
                </a:ext>
              </a:extLst>
            </xdr:cNvPr>
            <xdr:cNvSpPr txBox="1"/>
          </xdr:nvSpPr>
          <xdr:spPr>
            <a:xfrm>
              <a:off x="13482372634" y="9442354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3E4AF0C3-AB1C-5EFF-F39B-88A656D9FAB1}"/>
                </a:ext>
              </a:extLst>
            </xdr:cNvPr>
            <xdr:cNvSpPr txBox="1"/>
          </xdr:nvSpPr>
          <xdr:spPr>
            <a:xfrm>
              <a:off x="13482372634" y="9442354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23</xdr:col>
      <xdr:colOff>437852</xdr:colOff>
      <xdr:row>43</xdr:row>
      <xdr:rowOff>186334</xdr:rowOff>
    </xdr:from>
    <xdr:to>
      <xdr:col>24</xdr:col>
      <xdr:colOff>83242</xdr:colOff>
      <xdr:row>44</xdr:row>
      <xdr:rowOff>171577</xdr:rowOff>
    </xdr:to>
    <xdr:sp macro="" textlink="">
      <xdr:nvSpPr>
        <xdr:cNvPr id="70" name="Left Brace 69">
          <a:extLst>
            <a:ext uri="{FF2B5EF4-FFF2-40B4-BE49-F238E27FC236}">
              <a16:creationId xmlns:a16="http://schemas.microsoft.com/office/drawing/2014/main" id="{8A4E0781-943A-C53D-51F4-4A5EDAB3CAA4}"/>
            </a:ext>
          </a:extLst>
        </xdr:cNvPr>
        <xdr:cNvSpPr/>
      </xdr:nvSpPr>
      <xdr:spPr>
        <a:xfrm rot="5400000">
          <a:off x="13482654702" y="8941163"/>
          <a:ext cx="188641" cy="468906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23</xdr:col>
      <xdr:colOff>551470</xdr:colOff>
      <xdr:row>43</xdr:row>
      <xdr:rowOff>27711</xdr:rowOff>
    </xdr:from>
    <xdr:ext cx="2524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20291C9F-9017-9766-FA71-1F55C69FB91E}"/>
                </a:ext>
              </a:extLst>
            </xdr:cNvPr>
            <xdr:cNvSpPr txBox="1"/>
          </xdr:nvSpPr>
          <xdr:spPr>
            <a:xfrm>
              <a:off x="13482617380" y="8922672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20291C9F-9017-9766-FA71-1F55C69FB91E}"/>
                </a:ext>
              </a:extLst>
            </xdr:cNvPr>
            <xdr:cNvSpPr txBox="1"/>
          </xdr:nvSpPr>
          <xdr:spPr>
            <a:xfrm>
              <a:off x="13482617380" y="8922672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21</xdr:col>
      <xdr:colOff>800000</xdr:colOff>
      <xdr:row>43</xdr:row>
      <xdr:rowOff>161530</xdr:rowOff>
    </xdr:from>
    <xdr:to>
      <xdr:col>22</xdr:col>
      <xdr:colOff>445391</xdr:colOff>
      <xdr:row>44</xdr:row>
      <xdr:rowOff>146773</xdr:rowOff>
    </xdr:to>
    <xdr:sp macro="" textlink="">
      <xdr:nvSpPr>
        <xdr:cNvPr id="78" name="Left Brace 77">
          <a:extLst>
            <a:ext uri="{FF2B5EF4-FFF2-40B4-BE49-F238E27FC236}">
              <a16:creationId xmlns:a16="http://schemas.microsoft.com/office/drawing/2014/main" id="{9B5FF9C1-5FE5-6F63-F49D-1FE68FFBE5FC}"/>
            </a:ext>
          </a:extLst>
        </xdr:cNvPr>
        <xdr:cNvSpPr/>
      </xdr:nvSpPr>
      <xdr:spPr>
        <a:xfrm rot="5400000">
          <a:off x="13483939585" y="8916359"/>
          <a:ext cx="188641" cy="468906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22</xdr:col>
      <xdr:colOff>75221</xdr:colOff>
      <xdr:row>43</xdr:row>
      <xdr:rowOff>2906</xdr:rowOff>
    </xdr:from>
    <xdr:ext cx="2524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255F1D22-9E3F-C343-57B3-83B36406BBC4}"/>
                </a:ext>
              </a:extLst>
            </xdr:cNvPr>
            <xdr:cNvSpPr txBox="1"/>
          </xdr:nvSpPr>
          <xdr:spPr>
            <a:xfrm>
              <a:off x="13483917145" y="8897867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255F1D22-9E3F-C343-57B3-83B36406BBC4}"/>
                </a:ext>
              </a:extLst>
            </xdr:cNvPr>
            <xdr:cNvSpPr txBox="1"/>
          </xdr:nvSpPr>
          <xdr:spPr>
            <a:xfrm>
              <a:off x="13483917145" y="8897867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21</xdr:col>
      <xdr:colOff>620924</xdr:colOff>
      <xdr:row>45</xdr:row>
      <xdr:rowOff>121968</xdr:rowOff>
    </xdr:from>
    <xdr:ext cx="2524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EDD145DE-0AAB-84BA-8121-7CDD40685FAC}"/>
                </a:ext>
              </a:extLst>
            </xdr:cNvPr>
            <xdr:cNvSpPr txBox="1"/>
          </xdr:nvSpPr>
          <xdr:spPr>
            <a:xfrm>
              <a:off x="13484194957" y="9438609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78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EDD145DE-0AAB-84BA-8121-7CDD40685FAC}"/>
                </a:ext>
              </a:extLst>
            </xdr:cNvPr>
            <xdr:cNvSpPr txBox="1"/>
          </xdr:nvSpPr>
          <xdr:spPr>
            <a:xfrm>
              <a:off x="13484194957" y="9438609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78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425276</xdr:colOff>
      <xdr:row>191</xdr:row>
      <xdr:rowOff>148670</xdr:rowOff>
    </xdr:from>
    <xdr:ext cx="570860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88C87093-2911-BAAC-70FE-2F729AAC25B9}"/>
                </a:ext>
              </a:extLst>
            </xdr:cNvPr>
            <xdr:cNvSpPr txBox="1"/>
          </xdr:nvSpPr>
          <xdr:spPr>
            <a:xfrm>
              <a:off x="13550975791" y="27139083"/>
              <a:ext cx="570860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88C87093-2911-BAAC-70FE-2F729AAC25B9}"/>
                </a:ext>
              </a:extLst>
            </xdr:cNvPr>
            <xdr:cNvSpPr txBox="1"/>
          </xdr:nvSpPr>
          <xdr:spPr>
            <a:xfrm>
              <a:off x="13550975791" y="27139083"/>
              <a:ext cx="570860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734010</xdr:colOff>
      <xdr:row>192</xdr:row>
      <xdr:rowOff>116869</xdr:rowOff>
    </xdr:from>
    <xdr:to>
      <xdr:col>2</xdr:col>
      <xdr:colOff>739864</xdr:colOff>
      <xdr:row>194</xdr:row>
      <xdr:rowOff>139817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1E2BED79-646B-4BF0-BAF3-D9B61913C123}"/>
            </a:ext>
          </a:extLst>
        </xdr:cNvPr>
        <xdr:cNvCxnSpPr/>
      </xdr:nvCxnSpPr>
      <xdr:spPr>
        <a:xfrm flipH="1">
          <a:off x="13551232063" y="27311181"/>
          <a:ext cx="5854" cy="430746"/>
        </a:xfrm>
        <a:prstGeom prst="line">
          <a:avLst/>
        </a:prstGeom>
        <a:ln w="28575"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541789</xdr:colOff>
      <xdr:row>191</xdr:row>
      <xdr:rowOff>160321</xdr:rowOff>
    </xdr:from>
    <xdr:ext cx="570860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56C5AB0E-823F-34BA-5EC2-57D91D7212CA}"/>
                </a:ext>
              </a:extLst>
            </xdr:cNvPr>
            <xdr:cNvSpPr txBox="1"/>
          </xdr:nvSpPr>
          <xdr:spPr>
            <a:xfrm>
              <a:off x="13551686525" y="27150734"/>
              <a:ext cx="570860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56C5AB0E-823F-34BA-5EC2-57D91D7212CA}"/>
                </a:ext>
              </a:extLst>
            </xdr:cNvPr>
            <xdr:cNvSpPr txBox="1"/>
          </xdr:nvSpPr>
          <xdr:spPr>
            <a:xfrm>
              <a:off x="13551686525" y="27150734"/>
              <a:ext cx="570860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821395</xdr:colOff>
      <xdr:row>192</xdr:row>
      <xdr:rowOff>116869</xdr:rowOff>
    </xdr:from>
    <xdr:to>
      <xdr:col>2</xdr:col>
      <xdr:colOff>2</xdr:colOff>
      <xdr:row>194</xdr:row>
      <xdr:rowOff>139817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E91E2305-D651-E1F0-DE1D-9550729E9A16}"/>
            </a:ext>
          </a:extLst>
        </xdr:cNvPr>
        <xdr:cNvCxnSpPr/>
      </xdr:nvCxnSpPr>
      <xdr:spPr>
        <a:xfrm flipH="1">
          <a:off x="13551971925" y="27311181"/>
          <a:ext cx="5854" cy="430746"/>
        </a:xfrm>
        <a:prstGeom prst="line">
          <a:avLst/>
        </a:prstGeom>
        <a:ln w="28575"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564445</xdr:colOff>
      <xdr:row>1</xdr:row>
      <xdr:rowOff>115116</xdr:rowOff>
    </xdr:from>
    <xdr:to>
      <xdr:col>10</xdr:col>
      <xdr:colOff>616433</xdr:colOff>
      <xdr:row>8</xdr:row>
      <xdr:rowOff>70556</xdr:rowOff>
    </xdr:to>
    <xdr:sp macro="" textlink="">
      <xdr:nvSpPr>
        <xdr:cNvPr id="16" name="Rounded Rectangular Callout 15">
          <a:extLst>
            <a:ext uri="{FF2B5EF4-FFF2-40B4-BE49-F238E27FC236}">
              <a16:creationId xmlns:a16="http://schemas.microsoft.com/office/drawing/2014/main" id="{747E73A3-BC1A-DCCB-5426-2109661DEF14}"/>
            </a:ext>
          </a:extLst>
        </xdr:cNvPr>
        <xdr:cNvSpPr/>
      </xdr:nvSpPr>
      <xdr:spPr>
        <a:xfrm>
          <a:off x="13497879357" y="319356"/>
          <a:ext cx="1700760" cy="1396258"/>
        </a:xfrm>
        <a:prstGeom prst="wedgeRoundRectCallout">
          <a:avLst>
            <a:gd name="adj1" fmla="val 50704"/>
            <a:gd name="adj2" fmla="val 54297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שוקת:</a:t>
          </a:r>
          <a:r>
            <a:rPr lang="he-IL" sz="1100" baseline="0"/>
            <a:t> כמו אוכף, יותר זול אבל עם סיכוי נמוך יותר להרוויח</a:t>
          </a:r>
        </a:p>
        <a:p>
          <a:pPr algn="r" rtl="1"/>
          <a:r>
            <a:rPr lang="he-IL" sz="1100" baseline="0"/>
            <a:t>[נדרש שינוי קיצוני יותר כדי להרוויח]</a:t>
          </a:r>
        </a:p>
        <a:p>
          <a:pPr algn="r" rtl="1"/>
          <a:r>
            <a:rPr lang="he-IL" sz="1100" baseline="0"/>
            <a:t>העלות (של שוקת) יותר זולה מאוכף מקביל</a:t>
          </a:r>
          <a:endParaRPr lang="en-US" sz="1100"/>
        </a:p>
      </xdr:txBody>
    </xdr:sp>
    <xdr:clientData/>
  </xdr:twoCellAnchor>
  <xdr:twoCellAnchor editAs="oneCell">
    <xdr:from>
      <xdr:col>7</xdr:col>
      <xdr:colOff>662754</xdr:colOff>
      <xdr:row>7</xdr:row>
      <xdr:rowOff>48274</xdr:rowOff>
    </xdr:from>
    <xdr:to>
      <xdr:col>8</xdr:col>
      <xdr:colOff>520923</xdr:colOff>
      <xdr:row>10</xdr:row>
      <xdr:rowOff>69886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53996C25-3B25-F813-9E51-B987E5C143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499623639" y="1489093"/>
          <a:ext cx="682555" cy="634331"/>
        </a:xfrm>
        <a:prstGeom prst="rect">
          <a:avLst/>
        </a:prstGeom>
      </xdr:spPr>
    </xdr:pic>
    <xdr:clientData/>
  </xdr:twoCellAnchor>
  <xdr:twoCellAnchor editAs="oneCell">
    <xdr:from>
      <xdr:col>3</xdr:col>
      <xdr:colOff>487999</xdr:colOff>
      <xdr:row>35</xdr:row>
      <xdr:rowOff>70556</xdr:rowOff>
    </xdr:from>
    <xdr:to>
      <xdr:col>4</xdr:col>
      <xdr:colOff>363398</xdr:colOff>
      <xdr:row>38</xdr:row>
      <xdr:rowOff>100263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DD13A473-FA55-62CE-7A59-C4C2F8F373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03078708" y="7308071"/>
          <a:ext cx="699785" cy="642426"/>
        </a:xfrm>
        <a:prstGeom prst="rect">
          <a:avLst/>
        </a:prstGeom>
      </xdr:spPr>
    </xdr:pic>
    <xdr:clientData/>
  </xdr:twoCellAnchor>
  <xdr:twoCellAnchor>
    <xdr:from>
      <xdr:col>12</xdr:col>
      <xdr:colOff>384456</xdr:colOff>
      <xdr:row>41</xdr:row>
      <xdr:rowOff>0</xdr:rowOff>
    </xdr:from>
    <xdr:to>
      <xdr:col>12</xdr:col>
      <xdr:colOff>384456</xdr:colOff>
      <xdr:row>53</xdr:row>
      <xdr:rowOff>159830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A89BC0BE-8566-66AA-8936-3B3F77DCB724}"/>
            </a:ext>
          </a:extLst>
        </xdr:cNvPr>
        <xdr:cNvCxnSpPr/>
      </xdr:nvCxnSpPr>
      <xdr:spPr>
        <a:xfrm flipV="1">
          <a:off x="13507629286" y="8427789"/>
          <a:ext cx="0" cy="2647993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8</xdr:col>
      <xdr:colOff>630680</xdr:colOff>
      <xdr:row>48</xdr:row>
      <xdr:rowOff>90714</xdr:rowOff>
    </xdr:from>
    <xdr:to>
      <xdr:col>12</xdr:col>
      <xdr:colOff>453572</xdr:colOff>
      <xdr:row>48</xdr:row>
      <xdr:rowOff>103673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0F58B615-8476-E5BE-DC41-2297CD9E02D1}"/>
            </a:ext>
          </a:extLst>
        </xdr:cNvPr>
        <xdr:cNvCxnSpPr/>
      </xdr:nvCxnSpPr>
      <xdr:spPr>
        <a:xfrm flipV="1">
          <a:off x="13507560170" y="9978571"/>
          <a:ext cx="3123164" cy="129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oneCellAnchor>
    <xdr:from>
      <xdr:col>11</xdr:col>
      <xdr:colOff>695477</xdr:colOff>
      <xdr:row>43</xdr:row>
      <xdr:rowOff>134603</xdr:rowOff>
    </xdr:from>
    <xdr:ext cx="13263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3238DBC6-5409-B6A6-EAB4-5AB62E5375EA}"/>
                </a:ext>
              </a:extLst>
            </xdr:cNvPr>
            <xdr:cNvSpPr txBox="1"/>
          </xdr:nvSpPr>
          <xdr:spPr>
            <a:xfrm>
              <a:off x="13506817015" y="8981406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3238DBC6-5409-B6A6-EAB4-5AB62E5375EA}"/>
                </a:ext>
              </a:extLst>
            </xdr:cNvPr>
            <xdr:cNvSpPr txBox="1"/>
          </xdr:nvSpPr>
          <xdr:spPr>
            <a:xfrm>
              <a:off x="13506817015" y="8981406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142551</xdr:colOff>
      <xdr:row>44</xdr:row>
      <xdr:rowOff>38877</xdr:rowOff>
    </xdr:from>
    <xdr:to>
      <xdr:col>12</xdr:col>
      <xdr:colOff>380137</xdr:colOff>
      <xdr:row>52</xdr:row>
      <xdr:rowOff>103674</xdr:rowOff>
    </xdr:to>
    <xdr:cxnSp macro="">
      <xdr:nvCxnSpPr>
        <xdr:cNvPr id="50" name="Straight Connector 49">
          <a:extLst>
            <a:ext uri="{FF2B5EF4-FFF2-40B4-BE49-F238E27FC236}">
              <a16:creationId xmlns:a16="http://schemas.microsoft.com/office/drawing/2014/main" id="{82443667-9B22-BFF4-2033-19D00B418005}"/>
            </a:ext>
          </a:extLst>
        </xdr:cNvPr>
        <xdr:cNvCxnSpPr/>
      </xdr:nvCxnSpPr>
      <xdr:spPr>
        <a:xfrm>
          <a:off x="13507633605" y="9088707"/>
          <a:ext cx="1062654" cy="172789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11</xdr:col>
      <xdr:colOff>656600</xdr:colOff>
      <xdr:row>48</xdr:row>
      <xdr:rowOff>117325</xdr:rowOff>
    </xdr:from>
    <xdr:ext cx="13263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EE442F3E-D0CB-3CE2-DDCE-7D3852EE1677}"/>
                </a:ext>
              </a:extLst>
            </xdr:cNvPr>
            <xdr:cNvSpPr txBox="1"/>
          </xdr:nvSpPr>
          <xdr:spPr>
            <a:xfrm>
              <a:off x="13506855892" y="10005182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EE442F3E-D0CB-3CE2-DDCE-7D3852EE1677}"/>
                </a:ext>
              </a:extLst>
            </xdr:cNvPr>
            <xdr:cNvSpPr txBox="1"/>
          </xdr:nvSpPr>
          <xdr:spPr>
            <a:xfrm>
              <a:off x="13506855892" y="10005182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267825</xdr:colOff>
      <xdr:row>48</xdr:row>
      <xdr:rowOff>82767</xdr:rowOff>
    </xdr:from>
    <xdr:ext cx="13263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E7282946-AF04-B234-8BD0-D0010B99F9A0}"/>
                </a:ext>
              </a:extLst>
            </xdr:cNvPr>
            <xdr:cNvSpPr txBox="1"/>
          </xdr:nvSpPr>
          <xdr:spPr>
            <a:xfrm>
              <a:off x="13508069735" y="9970624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E7282946-AF04-B234-8BD0-D0010B99F9A0}"/>
                </a:ext>
              </a:extLst>
            </xdr:cNvPr>
            <xdr:cNvSpPr txBox="1"/>
          </xdr:nvSpPr>
          <xdr:spPr>
            <a:xfrm>
              <a:off x="13508069735" y="9970624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734355</xdr:colOff>
      <xdr:row>51</xdr:row>
      <xdr:rowOff>190759</xdr:rowOff>
    </xdr:from>
    <xdr:ext cx="13263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278F3CE1-E433-F81D-6471-A46503E39B56}"/>
                </a:ext>
              </a:extLst>
            </xdr:cNvPr>
            <xdr:cNvSpPr txBox="1"/>
          </xdr:nvSpPr>
          <xdr:spPr>
            <a:xfrm>
              <a:off x="13506778137" y="10687698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−18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278F3CE1-E433-F81D-6471-A46503E39B56}"/>
                </a:ext>
              </a:extLst>
            </xdr:cNvPr>
            <xdr:cNvSpPr txBox="1"/>
          </xdr:nvSpPr>
          <xdr:spPr>
            <a:xfrm>
              <a:off x="13506778137" y="10687698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−18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77756</xdr:colOff>
      <xdr:row>52</xdr:row>
      <xdr:rowOff>99354</xdr:rowOff>
    </xdr:from>
    <xdr:to>
      <xdr:col>11</xdr:col>
      <xdr:colOff>146871</xdr:colOff>
      <xdr:row>52</xdr:row>
      <xdr:rowOff>99354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35BF6C21-5B87-7BF7-B609-1DCA931D89B2}"/>
            </a:ext>
          </a:extLst>
        </xdr:cNvPr>
        <xdr:cNvCxnSpPr/>
      </xdr:nvCxnSpPr>
      <xdr:spPr>
        <a:xfrm>
          <a:off x="13508691939" y="10812279"/>
          <a:ext cx="894183" cy="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9</xdr:col>
      <xdr:colOff>237586</xdr:colOff>
      <xdr:row>48</xdr:row>
      <xdr:rowOff>100046</xdr:rowOff>
    </xdr:from>
    <xdr:ext cx="13263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1141330C-F9AB-69A8-9CFB-F30154F089FD}"/>
                </a:ext>
              </a:extLst>
            </xdr:cNvPr>
            <xdr:cNvSpPr txBox="1"/>
          </xdr:nvSpPr>
          <xdr:spPr>
            <a:xfrm>
              <a:off x="13508925042" y="9987903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1141330C-F9AB-69A8-9CFB-F30154F089FD}"/>
                </a:ext>
              </a:extLst>
            </xdr:cNvPr>
            <xdr:cNvSpPr txBox="1"/>
          </xdr:nvSpPr>
          <xdr:spPr>
            <a:xfrm>
              <a:off x="13508925042" y="9987903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64796</xdr:colOff>
      <xdr:row>40</xdr:row>
      <xdr:rowOff>112313</xdr:rowOff>
    </xdr:from>
    <xdr:to>
      <xdr:col>10</xdr:col>
      <xdr:colOff>86395</xdr:colOff>
      <xdr:row>52</xdr:row>
      <xdr:rowOff>99354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2EF12AFA-C9CF-0F2F-33A3-F051C2009BA4}"/>
            </a:ext>
          </a:extLst>
        </xdr:cNvPr>
        <xdr:cNvCxnSpPr/>
      </xdr:nvCxnSpPr>
      <xdr:spPr>
        <a:xfrm flipH="1">
          <a:off x="13509577483" y="8337075"/>
          <a:ext cx="1671735" cy="2475204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11</xdr:col>
      <xdr:colOff>60477</xdr:colOff>
      <xdr:row>48</xdr:row>
      <xdr:rowOff>134603</xdr:rowOff>
    </xdr:from>
    <xdr:ext cx="13263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D649513F-8C0D-39F8-B0C3-12E07A56EC1C}"/>
                </a:ext>
              </a:extLst>
            </xdr:cNvPr>
            <xdr:cNvSpPr txBox="1"/>
          </xdr:nvSpPr>
          <xdr:spPr>
            <a:xfrm>
              <a:off x="13507452015" y="10022460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D649513F-8C0D-39F8-B0C3-12E07A56EC1C}"/>
                </a:ext>
              </a:extLst>
            </xdr:cNvPr>
            <xdr:cNvSpPr txBox="1"/>
          </xdr:nvSpPr>
          <xdr:spPr>
            <a:xfrm>
              <a:off x="13507452015" y="10022460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423333</xdr:colOff>
      <xdr:row>48</xdr:row>
      <xdr:rowOff>108685</xdr:rowOff>
    </xdr:from>
    <xdr:ext cx="13263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817F1794-7D91-1FA3-6EB0-F99B3990C639}"/>
                </a:ext>
              </a:extLst>
            </xdr:cNvPr>
            <xdr:cNvSpPr txBox="1"/>
          </xdr:nvSpPr>
          <xdr:spPr>
            <a:xfrm>
              <a:off x="13509564363" y="9996542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78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817F1794-7D91-1FA3-6EB0-F99B3990C639}"/>
                </a:ext>
              </a:extLst>
            </xdr:cNvPr>
            <xdr:cNvSpPr txBox="1"/>
          </xdr:nvSpPr>
          <xdr:spPr>
            <a:xfrm>
              <a:off x="13509564363" y="9996542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78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24</xdr:col>
      <xdr:colOff>318689</xdr:colOff>
      <xdr:row>85</xdr:row>
      <xdr:rowOff>0</xdr:rowOff>
    </xdr:from>
    <xdr:to>
      <xdr:col>24</xdr:col>
      <xdr:colOff>489925</xdr:colOff>
      <xdr:row>85</xdr:row>
      <xdr:rowOff>42809</xdr:rowOff>
    </xdr:to>
    <xdr:sp macro="" textlink="">
      <xdr:nvSpPr>
        <xdr:cNvPr id="99" name="Oval 98">
          <a:extLst>
            <a:ext uri="{FF2B5EF4-FFF2-40B4-BE49-F238E27FC236}">
              <a16:creationId xmlns:a16="http://schemas.microsoft.com/office/drawing/2014/main" id="{F6D8B578-AC4F-7845-9F31-6D9C92A2FF76}"/>
            </a:ext>
          </a:extLst>
        </xdr:cNvPr>
        <xdr:cNvSpPr/>
      </xdr:nvSpPr>
      <xdr:spPr>
        <a:xfrm>
          <a:off x="13517206461" y="8060541"/>
          <a:ext cx="171236" cy="183714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24</xdr:col>
      <xdr:colOff>499437</xdr:colOff>
      <xdr:row>85</xdr:row>
      <xdr:rowOff>0</xdr:rowOff>
    </xdr:from>
    <xdr:ext cx="2524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B48630F8-A5DC-9B4D-ACBC-C876583102A3}"/>
                </a:ext>
              </a:extLst>
            </xdr:cNvPr>
            <xdr:cNvSpPr txBox="1"/>
          </xdr:nvSpPr>
          <xdr:spPr>
            <a:xfrm>
              <a:off x="13516944471" y="8067105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B48630F8-A5DC-9B4D-ACBC-C876583102A3}"/>
                </a:ext>
              </a:extLst>
            </xdr:cNvPr>
            <xdr:cNvSpPr txBox="1"/>
          </xdr:nvSpPr>
          <xdr:spPr>
            <a:xfrm>
              <a:off x="13516944471" y="8067105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711506</xdr:colOff>
      <xdr:row>86</xdr:row>
      <xdr:rowOff>91807</xdr:rowOff>
    </xdr:from>
    <xdr:to>
      <xdr:col>8</xdr:col>
      <xdr:colOff>711506</xdr:colOff>
      <xdr:row>98</xdr:row>
      <xdr:rowOff>68855</xdr:rowOff>
    </xdr:to>
    <xdr:cxnSp macro="">
      <xdr:nvCxnSpPr>
        <xdr:cNvPr id="103" name="Straight Arrow Connector 102">
          <a:extLst>
            <a:ext uri="{FF2B5EF4-FFF2-40B4-BE49-F238E27FC236}">
              <a16:creationId xmlns:a16="http://schemas.microsoft.com/office/drawing/2014/main" id="{65CAA8DC-768B-5837-9BD4-AE068B882779}"/>
            </a:ext>
          </a:extLst>
        </xdr:cNvPr>
        <xdr:cNvCxnSpPr/>
      </xdr:nvCxnSpPr>
      <xdr:spPr>
        <a:xfrm flipV="1">
          <a:off x="13530205120" y="17722620"/>
          <a:ext cx="0" cy="2409940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554669</xdr:colOff>
      <xdr:row>94</xdr:row>
      <xdr:rowOff>76505</xdr:rowOff>
    </xdr:from>
    <xdr:to>
      <xdr:col>9</xdr:col>
      <xdr:colOff>286898</xdr:colOff>
      <xdr:row>94</xdr:row>
      <xdr:rowOff>153011</xdr:rowOff>
    </xdr:to>
    <xdr:cxnSp macro="">
      <xdr:nvCxnSpPr>
        <xdr:cNvPr id="105" name="Straight Arrow Connector 104">
          <a:extLst>
            <a:ext uri="{FF2B5EF4-FFF2-40B4-BE49-F238E27FC236}">
              <a16:creationId xmlns:a16="http://schemas.microsoft.com/office/drawing/2014/main" id="{292D02C0-3B05-7097-9034-1FF6C573D563}"/>
            </a:ext>
          </a:extLst>
        </xdr:cNvPr>
        <xdr:cNvCxnSpPr/>
      </xdr:nvCxnSpPr>
      <xdr:spPr>
        <a:xfrm flipV="1">
          <a:off x="13529803463" y="19329246"/>
          <a:ext cx="3037290" cy="76506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818615</xdr:colOff>
      <xdr:row>93</xdr:row>
      <xdr:rowOff>181625</xdr:rowOff>
    </xdr:from>
    <xdr:ext cx="85040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1F1C48A9-3986-57A6-6328-8464587F16AB}"/>
                </a:ext>
              </a:extLst>
            </xdr:cNvPr>
            <xdr:cNvSpPr txBox="1"/>
          </xdr:nvSpPr>
          <xdr:spPr>
            <a:xfrm>
              <a:off x="13532552666" y="19231625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1F1C48A9-3986-57A6-6328-8464587F16AB}"/>
                </a:ext>
              </a:extLst>
            </xdr:cNvPr>
            <xdr:cNvSpPr txBox="1"/>
          </xdr:nvSpPr>
          <xdr:spPr>
            <a:xfrm>
              <a:off x="13532552666" y="19231625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𝑠_𝑡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271596</xdr:colOff>
      <xdr:row>85</xdr:row>
      <xdr:rowOff>74517</xdr:rowOff>
    </xdr:from>
    <xdr:ext cx="85040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9" name="TextBox 108">
              <a:extLst>
                <a:ext uri="{FF2B5EF4-FFF2-40B4-BE49-F238E27FC236}">
                  <a16:creationId xmlns:a16="http://schemas.microsoft.com/office/drawing/2014/main" id="{9F878048-7610-8D33-59F7-8F4C2B7D4FFD}"/>
                </a:ext>
              </a:extLst>
            </xdr:cNvPr>
            <xdr:cNvSpPr txBox="1"/>
          </xdr:nvSpPr>
          <xdr:spPr>
            <a:xfrm>
              <a:off x="13529794624" y="17502589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9" name="TextBox 108">
              <a:extLst>
                <a:ext uri="{FF2B5EF4-FFF2-40B4-BE49-F238E27FC236}">
                  <a16:creationId xmlns:a16="http://schemas.microsoft.com/office/drawing/2014/main" id="{9F878048-7610-8D33-59F7-8F4C2B7D4FFD}"/>
                </a:ext>
              </a:extLst>
            </xdr:cNvPr>
            <xdr:cNvSpPr txBox="1"/>
          </xdr:nvSpPr>
          <xdr:spPr>
            <a:xfrm>
              <a:off x="13529794624" y="17502589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382530</xdr:colOff>
      <xdr:row>94</xdr:row>
      <xdr:rowOff>170150</xdr:rowOff>
    </xdr:from>
    <xdr:ext cx="85040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CAF0A4D8-320C-8E79-C620-4B111CEB1A0E}"/>
                </a:ext>
              </a:extLst>
            </xdr:cNvPr>
            <xdr:cNvSpPr txBox="1"/>
          </xdr:nvSpPr>
          <xdr:spPr>
            <a:xfrm>
              <a:off x="13529683690" y="19422891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CAF0A4D8-320C-8E79-C620-4B111CEB1A0E}"/>
                </a:ext>
              </a:extLst>
            </xdr:cNvPr>
            <xdr:cNvSpPr txBox="1"/>
          </xdr:nvSpPr>
          <xdr:spPr>
            <a:xfrm>
              <a:off x="13529683690" y="19422891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420783</xdr:colOff>
      <xdr:row>89</xdr:row>
      <xdr:rowOff>32439</xdr:rowOff>
    </xdr:from>
    <xdr:ext cx="85040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081E0D33-B079-E5C8-7065-73202BF0762B}"/>
                </a:ext>
              </a:extLst>
            </xdr:cNvPr>
            <xdr:cNvSpPr txBox="1"/>
          </xdr:nvSpPr>
          <xdr:spPr>
            <a:xfrm>
              <a:off x="13529645437" y="18271475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73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081E0D33-B079-E5C8-7065-73202BF0762B}"/>
                </a:ext>
              </a:extLst>
            </xdr:cNvPr>
            <xdr:cNvSpPr txBox="1"/>
          </xdr:nvSpPr>
          <xdr:spPr>
            <a:xfrm>
              <a:off x="13529645437" y="18271475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73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592922</xdr:colOff>
      <xdr:row>89</xdr:row>
      <xdr:rowOff>114759</xdr:rowOff>
    </xdr:from>
    <xdr:to>
      <xdr:col>8</xdr:col>
      <xdr:colOff>715331</xdr:colOff>
      <xdr:row>96</xdr:row>
      <xdr:rowOff>160663</xdr:rowOff>
    </xdr:to>
    <xdr:cxnSp macro="">
      <xdr:nvCxnSpPr>
        <xdr:cNvPr id="113" name="Straight Connector 112">
          <a:extLst>
            <a:ext uri="{FF2B5EF4-FFF2-40B4-BE49-F238E27FC236}">
              <a16:creationId xmlns:a16="http://schemas.microsoft.com/office/drawing/2014/main" id="{ECC27A94-5809-7ABE-966E-E18920926DF0}"/>
            </a:ext>
          </a:extLst>
        </xdr:cNvPr>
        <xdr:cNvCxnSpPr/>
      </xdr:nvCxnSpPr>
      <xdr:spPr>
        <a:xfrm>
          <a:off x="13530201295" y="18353795"/>
          <a:ext cx="948675" cy="1465091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432258</xdr:colOff>
      <xdr:row>96</xdr:row>
      <xdr:rowOff>120421</xdr:rowOff>
    </xdr:from>
    <xdr:ext cx="85040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45F26E14-7058-A869-48EA-3D75CE770883}"/>
                </a:ext>
              </a:extLst>
            </xdr:cNvPr>
            <xdr:cNvSpPr txBox="1"/>
          </xdr:nvSpPr>
          <xdr:spPr>
            <a:xfrm>
              <a:off x="13529633962" y="19778644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−7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45F26E14-7058-A869-48EA-3D75CE770883}"/>
                </a:ext>
              </a:extLst>
            </xdr:cNvPr>
            <xdr:cNvSpPr txBox="1"/>
          </xdr:nvSpPr>
          <xdr:spPr>
            <a:xfrm>
              <a:off x="13529633962" y="19778644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−7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160664</xdr:colOff>
      <xdr:row>93</xdr:row>
      <xdr:rowOff>147197</xdr:rowOff>
    </xdr:from>
    <xdr:ext cx="85040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6" name="TextBox 115">
              <a:extLst>
                <a:ext uri="{FF2B5EF4-FFF2-40B4-BE49-F238E27FC236}">
                  <a16:creationId xmlns:a16="http://schemas.microsoft.com/office/drawing/2014/main" id="{5CCC5A26-8AD4-492E-645B-E75093FCEA22}"/>
                </a:ext>
              </a:extLst>
            </xdr:cNvPr>
            <xdr:cNvSpPr txBox="1"/>
          </xdr:nvSpPr>
          <xdr:spPr>
            <a:xfrm>
              <a:off x="13530731822" y="19197197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6" name="TextBox 115">
              <a:extLst>
                <a:ext uri="{FF2B5EF4-FFF2-40B4-BE49-F238E27FC236}">
                  <a16:creationId xmlns:a16="http://schemas.microsoft.com/office/drawing/2014/main" id="{5CCC5A26-8AD4-492E-645B-E75093FCEA22}"/>
                </a:ext>
              </a:extLst>
            </xdr:cNvPr>
            <xdr:cNvSpPr txBox="1"/>
          </xdr:nvSpPr>
          <xdr:spPr>
            <a:xfrm>
              <a:off x="13530731822" y="19197197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753586</xdr:colOff>
      <xdr:row>93</xdr:row>
      <xdr:rowOff>116595</xdr:rowOff>
    </xdr:from>
    <xdr:ext cx="85040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320E7367-62A1-C6CF-C884-DC8CCE6CEE69}"/>
                </a:ext>
              </a:extLst>
            </xdr:cNvPr>
            <xdr:cNvSpPr txBox="1"/>
          </xdr:nvSpPr>
          <xdr:spPr>
            <a:xfrm>
              <a:off x="13531791430" y="19166595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320E7367-62A1-C6CF-C884-DC8CCE6CEE69}"/>
                </a:ext>
              </a:extLst>
            </xdr:cNvPr>
            <xdr:cNvSpPr txBox="1"/>
          </xdr:nvSpPr>
          <xdr:spPr>
            <a:xfrm>
              <a:off x="13531791430" y="19166595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110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348103</xdr:colOff>
      <xdr:row>96</xdr:row>
      <xdr:rowOff>149187</xdr:rowOff>
    </xdr:from>
    <xdr:to>
      <xdr:col>7</xdr:col>
      <xdr:colOff>600573</xdr:colOff>
      <xdr:row>96</xdr:row>
      <xdr:rowOff>160663</xdr:rowOff>
    </xdr:to>
    <xdr:cxnSp macro="">
      <xdr:nvCxnSpPr>
        <xdr:cNvPr id="119" name="Straight Connector 118">
          <a:extLst>
            <a:ext uri="{FF2B5EF4-FFF2-40B4-BE49-F238E27FC236}">
              <a16:creationId xmlns:a16="http://schemas.microsoft.com/office/drawing/2014/main" id="{6AB11B6C-0555-212E-7C68-B45F3CBAAFCD}"/>
            </a:ext>
          </a:extLst>
        </xdr:cNvPr>
        <xdr:cNvCxnSpPr/>
      </xdr:nvCxnSpPr>
      <xdr:spPr>
        <a:xfrm flipV="1">
          <a:off x="13531142319" y="19807410"/>
          <a:ext cx="1078735" cy="11476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765060</xdr:colOff>
      <xdr:row>88</xdr:row>
      <xdr:rowOff>122409</xdr:rowOff>
    </xdr:from>
    <xdr:to>
      <xdr:col>6</xdr:col>
      <xdr:colOff>351928</xdr:colOff>
      <xdr:row>96</xdr:row>
      <xdr:rowOff>149186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E7EB0F47-4A40-B180-3DB2-2E8CB8A40982}"/>
            </a:ext>
          </a:extLst>
        </xdr:cNvPr>
        <xdr:cNvCxnSpPr/>
      </xdr:nvCxnSpPr>
      <xdr:spPr>
        <a:xfrm flipH="1">
          <a:off x="13532217229" y="18158704"/>
          <a:ext cx="1239398" cy="1648705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524068</xdr:colOff>
      <xdr:row>94</xdr:row>
      <xdr:rowOff>154847</xdr:rowOff>
    </xdr:from>
    <xdr:ext cx="85040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40B67DEF-826B-B3D7-D0DC-4AF7FCD36126}"/>
                </a:ext>
              </a:extLst>
            </xdr:cNvPr>
            <xdr:cNvSpPr txBox="1"/>
          </xdr:nvSpPr>
          <xdr:spPr>
            <a:xfrm>
              <a:off x="13530368418" y="19407588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73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40B67DEF-826B-B3D7-D0DC-4AF7FCD36126}"/>
                </a:ext>
              </a:extLst>
            </xdr:cNvPr>
            <xdr:cNvSpPr txBox="1"/>
          </xdr:nvSpPr>
          <xdr:spPr>
            <a:xfrm>
              <a:off x="13530368418" y="19407588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73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328977</xdr:colOff>
      <xdr:row>94</xdr:row>
      <xdr:rowOff>124244</xdr:rowOff>
    </xdr:from>
    <xdr:ext cx="85040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6" name="TextBox 125">
              <a:extLst>
                <a:ext uri="{FF2B5EF4-FFF2-40B4-BE49-F238E27FC236}">
                  <a16:creationId xmlns:a16="http://schemas.microsoft.com/office/drawing/2014/main" id="{970BB658-7A1E-8D9B-0389-229C50104250}"/>
                </a:ext>
              </a:extLst>
            </xdr:cNvPr>
            <xdr:cNvSpPr txBox="1"/>
          </xdr:nvSpPr>
          <xdr:spPr>
            <a:xfrm>
              <a:off x="13532216039" y="19376985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117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6" name="TextBox 125">
              <a:extLst>
                <a:ext uri="{FF2B5EF4-FFF2-40B4-BE49-F238E27FC236}">
                  <a16:creationId xmlns:a16="http://schemas.microsoft.com/office/drawing/2014/main" id="{970BB658-7A1E-8D9B-0389-229C50104250}"/>
                </a:ext>
              </a:extLst>
            </xdr:cNvPr>
            <xdr:cNvSpPr txBox="1"/>
          </xdr:nvSpPr>
          <xdr:spPr>
            <a:xfrm>
              <a:off x="13532216039" y="19376985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117</a:t>
              </a:r>
              <a:endParaRPr lang="en-US" sz="1100"/>
            </a:p>
          </xdr:txBody>
        </xdr:sp>
      </mc:Fallback>
    </mc:AlternateContent>
    <xdr:clientData/>
  </xdr:oneCellAnchor>
</xdr:wsDr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hyperlink" Target="mailto:shay.tsaban@gmail.com" TargetMode="Externa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593145-B27D-534E-ACBA-D62B4742C0AE}">
  <dimension ref="A1:H7"/>
  <sheetViews>
    <sheetView showGridLines="0" rightToLeft="1" topLeftCell="A26" zoomScale="399" zoomScaleNormal="36" zoomScaleSheetLayoutView="139" workbookViewId="0">
      <selection activeCell="A5" sqref="A5:H5"/>
    </sheetView>
  </sheetViews>
  <sheetFormatPr baseColWidth="10" defaultRowHeight="16" x14ac:dyDescent="0.2"/>
  <cols>
    <col min="1" max="16384" width="10.83203125" style="1"/>
  </cols>
  <sheetData>
    <row r="1" spans="1:8" x14ac:dyDescent="0.2">
      <c r="A1" s="328" t="s">
        <v>0</v>
      </c>
      <c r="B1" s="328"/>
      <c r="C1" s="328"/>
      <c r="D1" s="328"/>
      <c r="E1" s="328"/>
      <c r="F1" s="328"/>
      <c r="G1" s="328"/>
      <c r="H1" s="328"/>
    </row>
    <row r="2" spans="1:8" x14ac:dyDescent="0.2">
      <c r="A2" s="328" t="s">
        <v>1</v>
      </c>
      <c r="B2" s="328"/>
      <c r="C2" s="328"/>
      <c r="D2" s="328"/>
      <c r="E2" s="328"/>
      <c r="F2" s="328"/>
      <c r="G2" s="328"/>
      <c r="H2" s="328"/>
    </row>
    <row r="3" spans="1:8" x14ac:dyDescent="0.2">
      <c r="A3" s="328" t="s">
        <v>1949</v>
      </c>
      <c r="B3" s="328"/>
      <c r="C3" s="328"/>
      <c r="D3" s="328"/>
      <c r="E3" s="328"/>
      <c r="F3" s="328"/>
      <c r="G3" s="328"/>
      <c r="H3" s="328"/>
    </row>
    <row r="4" spans="1:8" x14ac:dyDescent="0.2">
      <c r="A4" s="328" t="s">
        <v>1950</v>
      </c>
      <c r="B4" s="328"/>
      <c r="C4" s="328"/>
      <c r="D4" s="328"/>
      <c r="E4" s="328"/>
      <c r="F4" s="328"/>
      <c r="G4" s="328"/>
      <c r="H4" s="328"/>
    </row>
    <row r="5" spans="1:8" x14ac:dyDescent="0.2">
      <c r="A5" s="328" t="s">
        <v>1951</v>
      </c>
      <c r="B5" s="328"/>
      <c r="C5" s="328"/>
      <c r="D5" s="328"/>
      <c r="E5" s="328"/>
      <c r="F5" s="328"/>
      <c r="G5" s="328"/>
      <c r="H5" s="328"/>
    </row>
    <row r="7" spans="1:8" x14ac:dyDescent="0.2">
      <c r="A7"/>
    </row>
  </sheetData>
  <mergeCells count="5">
    <mergeCell ref="A1:H1"/>
    <mergeCell ref="A2:H2"/>
    <mergeCell ref="A3:H3"/>
    <mergeCell ref="A4:H4"/>
    <mergeCell ref="A5:H5"/>
  </mergeCells>
  <pageMargins left="0.7" right="0.7" top="0.75" bottom="0.75" header="0.3" footer="0.3"/>
  <pageSetup paperSize="9" scale="95" orientation="portrait" horizontalDpi="0" verticalDpi="0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97FF6E-0958-FF49-8CE9-997FD060A8E6}">
  <dimension ref="A1:AA670"/>
  <sheetViews>
    <sheetView rightToLeft="1" topLeftCell="A15" zoomScale="232" zoomScaleNormal="125" zoomScaleSheetLayoutView="226" workbookViewId="0">
      <selection activeCell="F87" sqref="F87"/>
    </sheetView>
  </sheetViews>
  <sheetFormatPr baseColWidth="10" defaultRowHeight="16" x14ac:dyDescent="0.2"/>
  <cols>
    <col min="1" max="1" width="11.83203125" style="1" customWidth="1"/>
    <col min="2" max="16384" width="10.83203125" style="1"/>
  </cols>
  <sheetData>
    <row r="1" spans="1:8" x14ac:dyDescent="0.2">
      <c r="A1" s="61" t="s">
        <v>1444</v>
      </c>
      <c r="B1" s="2"/>
      <c r="C1" s="2"/>
      <c r="D1" s="2"/>
      <c r="E1" s="2"/>
      <c r="F1" s="2"/>
      <c r="G1" s="2"/>
      <c r="H1" s="3">
        <v>45651</v>
      </c>
    </row>
    <row r="2" spans="1:8" ht="17" thickBot="1" x14ac:dyDescent="0.25"/>
    <row r="3" spans="1:8" x14ac:dyDescent="0.2">
      <c r="A3" s="70" t="s">
        <v>390</v>
      </c>
      <c r="B3" s="71"/>
      <c r="C3" s="71"/>
      <c r="D3" s="71"/>
      <c r="E3" s="71"/>
      <c r="F3" s="71"/>
      <c r="G3" s="71"/>
      <c r="H3" s="72"/>
    </row>
    <row r="4" spans="1:8" x14ac:dyDescent="0.2">
      <c r="A4" s="64"/>
      <c r="H4" s="42"/>
    </row>
    <row r="5" spans="1:8" x14ac:dyDescent="0.2">
      <c r="A5" s="64" t="s">
        <v>360</v>
      </c>
      <c r="B5" s="207" t="s">
        <v>1295</v>
      </c>
      <c r="C5" s="207"/>
      <c r="D5" s="207"/>
      <c r="E5" s="207"/>
      <c r="F5" s="207"/>
      <c r="G5" s="207"/>
      <c r="H5" s="208"/>
    </row>
    <row r="6" spans="1:8" x14ac:dyDescent="0.2">
      <c r="A6" s="64"/>
      <c r="B6" s="209" t="s">
        <v>1296</v>
      </c>
      <c r="H6" s="42"/>
    </row>
    <row r="7" spans="1:8" x14ac:dyDescent="0.2">
      <c r="A7" s="64"/>
      <c r="B7" s="207" t="s">
        <v>1292</v>
      </c>
      <c r="C7" s="207" t="s">
        <v>442</v>
      </c>
      <c r="H7" s="42"/>
    </row>
    <row r="8" spans="1:8" x14ac:dyDescent="0.2">
      <c r="A8" s="64"/>
      <c r="B8" s="209" t="s">
        <v>1293</v>
      </c>
      <c r="C8" s="209" t="s">
        <v>442</v>
      </c>
      <c r="H8" s="42"/>
    </row>
    <row r="9" spans="1:8" x14ac:dyDescent="0.2">
      <c r="A9" s="64"/>
      <c r="H9" s="42"/>
    </row>
    <row r="10" spans="1:8" x14ac:dyDescent="0.2">
      <c r="A10" s="64" t="s">
        <v>362</v>
      </c>
      <c r="B10" s="1" t="s">
        <v>1297</v>
      </c>
      <c r="H10" s="42"/>
    </row>
    <row r="11" spans="1:8" x14ac:dyDescent="0.2">
      <c r="A11" s="64"/>
      <c r="B11" s="1" t="s">
        <v>1298</v>
      </c>
      <c r="H11" s="42"/>
    </row>
    <row r="12" spans="1:8" x14ac:dyDescent="0.2">
      <c r="A12" s="64"/>
      <c r="H12" s="42"/>
    </row>
    <row r="13" spans="1:8" x14ac:dyDescent="0.2">
      <c r="A13" s="64" t="s">
        <v>364</v>
      </c>
      <c r="B13" s="1" t="s">
        <v>1299</v>
      </c>
      <c r="H13" s="42"/>
    </row>
    <row r="14" spans="1:8" x14ac:dyDescent="0.2">
      <c r="A14" s="64"/>
      <c r="H14" s="42"/>
    </row>
    <row r="15" spans="1:8" ht="17" thickBot="1" x14ac:dyDescent="0.25">
      <c r="A15" s="65" t="s">
        <v>365</v>
      </c>
      <c r="B15" s="44" t="s">
        <v>391</v>
      </c>
      <c r="C15" s="44"/>
      <c r="D15" s="44"/>
      <c r="E15" s="44"/>
      <c r="F15" s="44"/>
      <c r="G15" s="44"/>
      <c r="H15" s="45"/>
    </row>
    <row r="16" spans="1:8" ht="17" thickBot="1" x14ac:dyDescent="0.25">
      <c r="A16" s="62"/>
    </row>
    <row r="17" spans="1:21" ht="17" thickBot="1" x14ac:dyDescent="0.25">
      <c r="A17" s="50" t="s">
        <v>1353</v>
      </c>
      <c r="B17" s="51"/>
      <c r="C17" s="51"/>
      <c r="D17" s="51"/>
      <c r="E17" s="51"/>
      <c r="F17" s="51"/>
      <c r="G17" s="51"/>
      <c r="H17" s="52"/>
    </row>
    <row r="18" spans="1:21" x14ac:dyDescent="0.2">
      <c r="A18" s="62"/>
    </row>
    <row r="19" spans="1:21" ht="17" thickBot="1" x14ac:dyDescent="0.25">
      <c r="A19" s="62" t="s">
        <v>2374</v>
      </c>
    </row>
    <row r="20" spans="1:21" x14ac:dyDescent="0.2">
      <c r="A20" s="62" t="s">
        <v>1303</v>
      </c>
      <c r="F20" s="97" t="s">
        <v>1292</v>
      </c>
      <c r="G20" s="40" t="s">
        <v>442</v>
      </c>
    </row>
    <row r="21" spans="1:21" ht="17" thickBot="1" x14ac:dyDescent="0.25">
      <c r="A21" s="62"/>
      <c r="C21" s="21" t="s">
        <v>1300</v>
      </c>
      <c r="F21" s="43" t="s">
        <v>1293</v>
      </c>
      <c r="G21" s="45" t="s">
        <v>442</v>
      </c>
    </row>
    <row r="22" spans="1:21" x14ac:dyDescent="0.2">
      <c r="A22" s="62"/>
      <c r="B22" s="75" t="s">
        <v>368</v>
      </c>
      <c r="C22" s="75" t="s">
        <v>394</v>
      </c>
    </row>
    <row r="23" spans="1:21" x14ac:dyDescent="0.2">
      <c r="A23" s="62"/>
      <c r="B23" s="21" t="s">
        <v>395</v>
      </c>
      <c r="C23" s="21">
        <v>20</v>
      </c>
      <c r="F23" s="1" t="s">
        <v>323</v>
      </c>
    </row>
    <row r="24" spans="1:21" x14ac:dyDescent="0.2">
      <c r="A24" s="62"/>
      <c r="B24" s="21" t="s">
        <v>396</v>
      </c>
      <c r="C24" s="21">
        <v>22</v>
      </c>
      <c r="F24" s="1" t="s">
        <v>1301</v>
      </c>
    </row>
    <row r="25" spans="1:21" x14ac:dyDescent="0.2">
      <c r="A25" s="62"/>
      <c r="B25" s="60" t="s">
        <v>397</v>
      </c>
      <c r="C25" s="60">
        <v>8</v>
      </c>
      <c r="F25" s="1" t="s">
        <v>1302</v>
      </c>
    </row>
    <row r="26" spans="1:21" x14ac:dyDescent="0.2">
      <c r="A26" s="62"/>
      <c r="B26" s="21" t="s">
        <v>398</v>
      </c>
      <c r="C26" s="21">
        <v>31</v>
      </c>
      <c r="F26" s="1" t="s">
        <v>1304</v>
      </c>
    </row>
    <row r="27" spans="1:21" x14ac:dyDescent="0.2">
      <c r="A27" s="62"/>
      <c r="B27" s="21" t="s">
        <v>399</v>
      </c>
      <c r="C27" s="21">
        <v>33</v>
      </c>
      <c r="F27" s="1" t="s">
        <v>1305</v>
      </c>
    </row>
    <row r="28" spans="1:21" x14ac:dyDescent="0.2">
      <c r="A28" s="62"/>
      <c r="B28" s="60" t="s">
        <v>400</v>
      </c>
      <c r="C28" s="60">
        <v>10</v>
      </c>
    </row>
    <row r="29" spans="1:21" x14ac:dyDescent="0.2">
      <c r="A29" s="62"/>
    </row>
    <row r="30" spans="1:21" x14ac:dyDescent="0.2">
      <c r="A30" s="62" t="s">
        <v>382</v>
      </c>
    </row>
    <row r="31" spans="1:21" x14ac:dyDescent="0.2">
      <c r="A31" s="62" t="s">
        <v>1294</v>
      </c>
      <c r="U31" s="143" t="s">
        <v>1308</v>
      </c>
    </row>
    <row r="32" spans="1:21" x14ac:dyDescent="0.2">
      <c r="A32" s="62" t="s">
        <v>1306</v>
      </c>
    </row>
    <row r="33" spans="1:27" ht="17" thickBot="1" x14ac:dyDescent="0.25">
      <c r="A33" s="62"/>
    </row>
    <row r="34" spans="1:27" x14ac:dyDescent="0.2">
      <c r="A34" s="63" t="s">
        <v>78</v>
      </c>
      <c r="B34" s="39"/>
      <c r="C34" s="39"/>
      <c r="D34" s="39"/>
      <c r="E34" s="39"/>
      <c r="F34" s="39"/>
      <c r="G34" s="39"/>
      <c r="H34" s="40" t="s">
        <v>2375</v>
      </c>
    </row>
    <row r="35" spans="1:27" ht="17" thickBot="1" x14ac:dyDescent="0.25">
      <c r="A35" s="95"/>
      <c r="H35" s="42"/>
      <c r="W35" s="4" t="s">
        <v>1341</v>
      </c>
    </row>
    <row r="36" spans="1:27" x14ac:dyDescent="0.2">
      <c r="A36" s="95"/>
      <c r="C36" s="21"/>
      <c r="D36" s="344"/>
      <c r="E36" s="345"/>
      <c r="H36" s="42"/>
      <c r="W36" s="4" t="s">
        <v>1335</v>
      </c>
      <c r="Y36" s="21" t="s">
        <v>262</v>
      </c>
    </row>
    <row r="37" spans="1:27" x14ac:dyDescent="0.2">
      <c r="A37" s="95"/>
      <c r="B37" s="21" t="s">
        <v>2376</v>
      </c>
      <c r="C37" s="21" t="s">
        <v>2379</v>
      </c>
      <c r="D37" s="342"/>
      <c r="E37" s="346"/>
      <c r="H37" s="42"/>
      <c r="W37" s="4" t="s">
        <v>1336</v>
      </c>
    </row>
    <row r="38" spans="1:27" x14ac:dyDescent="0.2">
      <c r="A38" s="95"/>
      <c r="B38" s="21" t="s">
        <v>2377</v>
      </c>
      <c r="C38" s="21" t="s">
        <v>2380</v>
      </c>
      <c r="D38" s="342"/>
      <c r="E38" s="346"/>
      <c r="H38" s="42"/>
      <c r="W38" s="4" t="s">
        <v>1337</v>
      </c>
      <c r="AA38" s="1" t="s">
        <v>1315</v>
      </c>
    </row>
    <row r="39" spans="1:27" x14ac:dyDescent="0.2">
      <c r="A39" s="210" t="s">
        <v>1191</v>
      </c>
      <c r="B39" s="21" t="s">
        <v>2378</v>
      </c>
      <c r="C39" s="21" t="s">
        <v>2378</v>
      </c>
      <c r="D39" s="342"/>
      <c r="E39" s="346"/>
      <c r="F39" s="21" t="s">
        <v>2383</v>
      </c>
      <c r="H39" s="42"/>
      <c r="W39" s="4" t="s">
        <v>1338</v>
      </c>
      <c r="AA39" s="1" t="s">
        <v>1316</v>
      </c>
    </row>
    <row r="40" spans="1:27" x14ac:dyDescent="0.2">
      <c r="A40" s="211" t="s">
        <v>1307</v>
      </c>
      <c r="B40" s="21" t="s">
        <v>239</v>
      </c>
      <c r="C40" s="21" t="s">
        <v>239</v>
      </c>
      <c r="D40" s="212" t="s">
        <v>401</v>
      </c>
      <c r="E40" s="213" t="s">
        <v>402</v>
      </c>
      <c r="F40" s="342" t="s">
        <v>2384</v>
      </c>
      <c r="G40" s="329"/>
      <c r="H40" s="42"/>
      <c r="W40" s="4" t="s">
        <v>1339</v>
      </c>
      <c r="AA40" s="1" t="s">
        <v>1317</v>
      </c>
    </row>
    <row r="41" spans="1:27" x14ac:dyDescent="0.2">
      <c r="A41" s="80" t="s">
        <v>71</v>
      </c>
      <c r="B41" s="75" t="s">
        <v>397</v>
      </c>
      <c r="C41" s="81" t="s">
        <v>400</v>
      </c>
      <c r="D41" s="106" t="s">
        <v>2381</v>
      </c>
      <c r="E41" s="168" t="s">
        <v>2382</v>
      </c>
      <c r="F41" s="81"/>
      <c r="H41" s="42"/>
      <c r="M41" s="21" t="s">
        <v>262</v>
      </c>
      <c r="W41" s="4" t="s">
        <v>1340</v>
      </c>
      <c r="AA41" s="1" t="s">
        <v>1318</v>
      </c>
    </row>
    <row r="42" spans="1:27" ht="17" thickBot="1" x14ac:dyDescent="0.25">
      <c r="A42" s="83">
        <v>0</v>
      </c>
      <c r="B42" s="32">
        <v>0</v>
      </c>
      <c r="C42" s="32">
        <f>40-A42</f>
        <v>40</v>
      </c>
      <c r="D42" s="47">
        <f>B42-8</f>
        <v>-8</v>
      </c>
      <c r="E42" s="169">
        <f>C42-10</f>
        <v>30</v>
      </c>
      <c r="F42" s="316">
        <f t="shared" ref="F42:F47" si="0">D42+E42</f>
        <v>22</v>
      </c>
      <c r="H42" s="42"/>
      <c r="AA42" s="1" t="s">
        <v>1319</v>
      </c>
    </row>
    <row r="43" spans="1:27" x14ac:dyDescent="0.2">
      <c r="A43" s="79">
        <f t="shared" ref="A43:A52" si="1">A42+10</f>
        <v>10</v>
      </c>
      <c r="B43" s="32">
        <v>0</v>
      </c>
      <c r="C43" s="32">
        <f t="shared" ref="C43:C45" si="2">40-A43</f>
        <v>30</v>
      </c>
      <c r="D43" s="47">
        <f t="shared" ref="D43:D52" si="3">B43-8</f>
        <v>-8</v>
      </c>
      <c r="E43" s="169">
        <f t="shared" ref="E43:E52" si="4">C43-10</f>
        <v>20</v>
      </c>
      <c r="F43" s="82">
        <f t="shared" si="0"/>
        <v>12</v>
      </c>
      <c r="H43" s="42"/>
      <c r="AA43" s="1" t="s">
        <v>1320</v>
      </c>
    </row>
    <row r="44" spans="1:27" x14ac:dyDescent="0.2">
      <c r="A44" s="88">
        <f t="shared" si="1"/>
        <v>20</v>
      </c>
      <c r="B44" s="32">
        <v>0</v>
      </c>
      <c r="C44" s="32">
        <f t="shared" si="2"/>
        <v>20</v>
      </c>
      <c r="D44" s="47">
        <f t="shared" si="3"/>
        <v>-8</v>
      </c>
      <c r="E44" s="169">
        <f t="shared" si="4"/>
        <v>10</v>
      </c>
      <c r="F44" s="82">
        <f t="shared" si="0"/>
        <v>2</v>
      </c>
      <c r="H44" s="42"/>
      <c r="AA44" s="1" t="s">
        <v>1321</v>
      </c>
    </row>
    <row r="45" spans="1:27" ht="17" thickBot="1" x14ac:dyDescent="0.25">
      <c r="A45" s="88">
        <f t="shared" si="1"/>
        <v>30</v>
      </c>
      <c r="B45" s="32">
        <v>0</v>
      </c>
      <c r="C45" s="32">
        <f t="shared" si="2"/>
        <v>10</v>
      </c>
      <c r="D45" s="47">
        <f t="shared" si="3"/>
        <v>-8</v>
      </c>
      <c r="E45" s="169">
        <f t="shared" si="4"/>
        <v>0</v>
      </c>
      <c r="F45" s="82">
        <f t="shared" si="0"/>
        <v>-8</v>
      </c>
      <c r="H45" s="42"/>
      <c r="AA45" s="1" t="s">
        <v>1322</v>
      </c>
    </row>
    <row r="46" spans="1:27" ht="17" thickBot="1" x14ac:dyDescent="0.25">
      <c r="A46" s="79">
        <f t="shared" si="1"/>
        <v>40</v>
      </c>
      <c r="B46" s="32">
        <v>0</v>
      </c>
      <c r="C46" s="32">
        <v>0</v>
      </c>
      <c r="D46" s="47">
        <f t="shared" si="3"/>
        <v>-8</v>
      </c>
      <c r="E46" s="169">
        <f t="shared" si="4"/>
        <v>-10</v>
      </c>
      <c r="F46" s="214">
        <f t="shared" si="0"/>
        <v>-18</v>
      </c>
      <c r="H46" s="42"/>
      <c r="U46" s="21" t="s">
        <v>71</v>
      </c>
      <c r="AA46" s="1" t="s">
        <v>1323</v>
      </c>
    </row>
    <row r="47" spans="1:27" x14ac:dyDescent="0.2">
      <c r="A47" s="79">
        <f t="shared" si="1"/>
        <v>50</v>
      </c>
      <c r="B47" s="32">
        <v>0</v>
      </c>
      <c r="C47" s="32">
        <v>0</v>
      </c>
      <c r="D47" s="47">
        <f t="shared" si="3"/>
        <v>-8</v>
      </c>
      <c r="E47" s="169">
        <f t="shared" si="4"/>
        <v>-10</v>
      </c>
      <c r="F47" s="82">
        <f t="shared" si="0"/>
        <v>-18</v>
      </c>
      <c r="H47" s="42"/>
      <c r="Y47" s="104">
        <v>0</v>
      </c>
      <c r="AA47" s="1" t="s">
        <v>1324</v>
      </c>
    </row>
    <row r="48" spans="1:27" x14ac:dyDescent="0.2">
      <c r="A48" s="79">
        <f t="shared" si="1"/>
        <v>60</v>
      </c>
      <c r="B48" s="32">
        <v>0</v>
      </c>
      <c r="C48" s="32">
        <v>0</v>
      </c>
      <c r="D48" s="47">
        <f t="shared" si="3"/>
        <v>-8</v>
      </c>
      <c r="E48" s="169">
        <f t="shared" si="4"/>
        <v>-10</v>
      </c>
      <c r="F48" s="82">
        <f t="shared" ref="F48:F52" si="5">D48+E48</f>
        <v>-18</v>
      </c>
      <c r="H48" s="42"/>
      <c r="AA48" s="1" t="s">
        <v>1325</v>
      </c>
    </row>
    <row r="49" spans="1:27" x14ac:dyDescent="0.2">
      <c r="A49" s="88">
        <f t="shared" si="1"/>
        <v>70</v>
      </c>
      <c r="B49" s="32">
        <f>A49-60</f>
        <v>10</v>
      </c>
      <c r="C49" s="32">
        <v>0</v>
      </c>
      <c r="D49" s="47">
        <f t="shared" si="3"/>
        <v>2</v>
      </c>
      <c r="E49" s="169">
        <f t="shared" si="4"/>
        <v>-10</v>
      </c>
      <c r="F49" s="82">
        <f t="shared" si="5"/>
        <v>-8</v>
      </c>
      <c r="H49" s="42"/>
      <c r="I49" s="21" t="s">
        <v>71</v>
      </c>
      <c r="AA49" s="1" t="s">
        <v>1326</v>
      </c>
    </row>
    <row r="50" spans="1:27" x14ac:dyDescent="0.2">
      <c r="A50" s="88">
        <f t="shared" si="1"/>
        <v>80</v>
      </c>
      <c r="B50" s="32">
        <f t="shared" ref="B50:B52" si="6">A50-60</f>
        <v>20</v>
      </c>
      <c r="C50" s="32">
        <v>0</v>
      </c>
      <c r="D50" s="47">
        <f t="shared" si="3"/>
        <v>12</v>
      </c>
      <c r="E50" s="169">
        <f t="shared" si="4"/>
        <v>-10</v>
      </c>
      <c r="F50" s="82">
        <f t="shared" si="5"/>
        <v>2</v>
      </c>
      <c r="H50" s="42"/>
    </row>
    <row r="51" spans="1:27" x14ac:dyDescent="0.2">
      <c r="A51" s="79">
        <f t="shared" si="1"/>
        <v>90</v>
      </c>
      <c r="B51" s="32">
        <f t="shared" si="6"/>
        <v>30</v>
      </c>
      <c r="C51" s="32">
        <v>0</v>
      </c>
      <c r="D51" s="47">
        <f t="shared" si="3"/>
        <v>22</v>
      </c>
      <c r="E51" s="169">
        <f t="shared" si="4"/>
        <v>-10</v>
      </c>
      <c r="F51" s="82">
        <f t="shared" si="5"/>
        <v>12</v>
      </c>
      <c r="H51" s="42"/>
    </row>
    <row r="52" spans="1:27" ht="17" thickBot="1" x14ac:dyDescent="0.25">
      <c r="A52" s="79">
        <f t="shared" si="1"/>
        <v>100</v>
      </c>
      <c r="B52" s="32">
        <f t="shared" si="6"/>
        <v>40</v>
      </c>
      <c r="C52" s="32">
        <v>0</v>
      </c>
      <c r="D52" s="170">
        <f t="shared" si="3"/>
        <v>32</v>
      </c>
      <c r="E52" s="171">
        <f t="shared" si="4"/>
        <v>-10</v>
      </c>
      <c r="F52" s="82">
        <f t="shared" si="5"/>
        <v>22</v>
      </c>
      <c r="H52" s="42"/>
    </row>
    <row r="53" spans="1:27" x14ac:dyDescent="0.2">
      <c r="A53" s="64"/>
      <c r="H53" s="42"/>
      <c r="V53" s="1" t="s">
        <v>1309</v>
      </c>
    </row>
    <row r="54" spans="1:27" x14ac:dyDescent="0.2">
      <c r="A54" s="64"/>
      <c r="H54" s="42"/>
    </row>
    <row r="55" spans="1:27" x14ac:dyDescent="0.2">
      <c r="A55" s="64"/>
      <c r="H55" s="42"/>
      <c r="I55" s="1" t="s">
        <v>2387</v>
      </c>
      <c r="V55" s="1" t="s">
        <v>1310</v>
      </c>
    </row>
    <row r="56" spans="1:27" x14ac:dyDescent="0.2">
      <c r="A56" s="64"/>
      <c r="H56" s="42"/>
      <c r="I56" s="1" t="s">
        <v>2385</v>
      </c>
      <c r="V56" s="1" t="s">
        <v>1311</v>
      </c>
    </row>
    <row r="57" spans="1:27" x14ac:dyDescent="0.2">
      <c r="A57" s="64"/>
      <c r="H57" s="42"/>
      <c r="I57" s="1" t="s">
        <v>2386</v>
      </c>
    </row>
    <row r="58" spans="1:27" x14ac:dyDescent="0.2">
      <c r="A58" s="64"/>
      <c r="H58" s="42"/>
      <c r="J58" s="1" t="s">
        <v>2388</v>
      </c>
      <c r="V58" s="1" t="s">
        <v>1312</v>
      </c>
    </row>
    <row r="59" spans="1:27" x14ac:dyDescent="0.2">
      <c r="A59" s="64"/>
      <c r="H59" s="42"/>
      <c r="J59" s="1" t="s">
        <v>2389</v>
      </c>
      <c r="V59" s="1" t="s">
        <v>1313</v>
      </c>
    </row>
    <row r="60" spans="1:27" x14ac:dyDescent="0.2">
      <c r="A60" s="64"/>
      <c r="H60" s="42"/>
      <c r="J60" s="1" t="s">
        <v>2390</v>
      </c>
    </row>
    <row r="61" spans="1:27" x14ac:dyDescent="0.2">
      <c r="A61" s="64"/>
      <c r="H61" s="42"/>
      <c r="I61" s="1" t="s">
        <v>2391</v>
      </c>
      <c r="V61" s="1" t="s">
        <v>1314</v>
      </c>
    </row>
    <row r="62" spans="1:27" x14ac:dyDescent="0.2">
      <c r="A62" s="64"/>
      <c r="H62" s="42"/>
      <c r="I62" s="1" t="s">
        <v>2392</v>
      </c>
    </row>
    <row r="63" spans="1:27" x14ac:dyDescent="0.2">
      <c r="A63" s="64"/>
      <c r="H63" s="42"/>
      <c r="V63" s="1" t="s">
        <v>1327</v>
      </c>
    </row>
    <row r="64" spans="1:27" x14ac:dyDescent="0.2">
      <c r="A64" s="64"/>
      <c r="H64" s="42"/>
      <c r="V64" s="1" t="s">
        <v>1328</v>
      </c>
    </row>
    <row r="65" spans="1:22" x14ac:dyDescent="0.2">
      <c r="A65" s="64"/>
      <c r="H65" s="42"/>
      <c r="V65" s="1" t="s">
        <v>1329</v>
      </c>
    </row>
    <row r="66" spans="1:22" ht="17" thickBot="1" x14ac:dyDescent="0.25">
      <c r="A66" s="65"/>
      <c r="B66" s="44"/>
      <c r="C66" s="44"/>
      <c r="D66" s="44"/>
      <c r="E66" s="44"/>
      <c r="F66" s="44"/>
      <c r="G66" s="44"/>
      <c r="H66" s="45"/>
      <c r="V66" s="1" t="s">
        <v>1330</v>
      </c>
    </row>
    <row r="67" spans="1:22" ht="17" thickBot="1" x14ac:dyDescent="0.25">
      <c r="A67" s="62"/>
      <c r="V67" s="1" t="s">
        <v>1331</v>
      </c>
    </row>
    <row r="68" spans="1:22" ht="17" thickBot="1" x14ac:dyDescent="0.25">
      <c r="A68" s="234" t="s">
        <v>2393</v>
      </c>
      <c r="B68" s="8"/>
      <c r="C68" s="8"/>
      <c r="D68" s="8"/>
      <c r="E68" s="8"/>
      <c r="F68" s="8"/>
      <c r="G68" s="8"/>
      <c r="H68" s="9"/>
    </row>
    <row r="69" spans="1:22" ht="17" thickBot="1" x14ac:dyDescent="0.25">
      <c r="A69" s="62" t="s">
        <v>2394</v>
      </c>
    </row>
    <row r="70" spans="1:22" x14ac:dyDescent="0.2">
      <c r="A70" s="62" t="s">
        <v>2395</v>
      </c>
      <c r="F70" s="97" t="s">
        <v>1292</v>
      </c>
      <c r="G70" s="40" t="s">
        <v>442</v>
      </c>
    </row>
    <row r="71" spans="1:22" ht="17" thickBot="1" x14ac:dyDescent="0.25">
      <c r="A71" s="62"/>
      <c r="C71" s="21" t="s">
        <v>1300</v>
      </c>
      <c r="F71" s="43" t="s">
        <v>1293</v>
      </c>
      <c r="G71" s="45" t="s">
        <v>442</v>
      </c>
    </row>
    <row r="72" spans="1:22" x14ac:dyDescent="0.2">
      <c r="A72" s="62"/>
      <c r="B72" s="75" t="s">
        <v>368</v>
      </c>
      <c r="C72" s="75" t="s">
        <v>394</v>
      </c>
    </row>
    <row r="73" spans="1:22" x14ac:dyDescent="0.2">
      <c r="A73" s="62"/>
      <c r="B73" s="21" t="s">
        <v>2396</v>
      </c>
      <c r="C73" s="21">
        <v>35</v>
      </c>
      <c r="F73" s="1" t="s">
        <v>323</v>
      </c>
    </row>
    <row r="74" spans="1:22" x14ac:dyDescent="0.2">
      <c r="A74" s="62"/>
      <c r="B74" s="21" t="s">
        <v>432</v>
      </c>
      <c r="C74" s="21">
        <v>25</v>
      </c>
      <c r="F74" s="1" t="s">
        <v>1301</v>
      </c>
    </row>
    <row r="75" spans="1:22" x14ac:dyDescent="0.2">
      <c r="A75" s="62"/>
      <c r="B75" s="21" t="s">
        <v>2397</v>
      </c>
      <c r="C75" s="21">
        <v>15</v>
      </c>
      <c r="F75" s="1" t="s">
        <v>1302</v>
      </c>
    </row>
    <row r="76" spans="1:22" x14ac:dyDescent="0.2">
      <c r="A76" s="62"/>
      <c r="B76" s="21" t="s">
        <v>2398</v>
      </c>
      <c r="C76" s="21">
        <v>5</v>
      </c>
      <c r="F76" s="1" t="s">
        <v>1304</v>
      </c>
    </row>
    <row r="77" spans="1:22" x14ac:dyDescent="0.2">
      <c r="A77" s="62"/>
      <c r="B77" s="21" t="s">
        <v>2399</v>
      </c>
      <c r="C77" s="21">
        <v>20</v>
      </c>
      <c r="F77" s="1" t="s">
        <v>1305</v>
      </c>
    </row>
    <row r="78" spans="1:22" x14ac:dyDescent="0.2">
      <c r="A78" s="62"/>
      <c r="B78" s="21" t="s">
        <v>435</v>
      </c>
      <c r="C78" s="21">
        <v>12</v>
      </c>
    </row>
    <row r="79" spans="1:22" x14ac:dyDescent="0.2">
      <c r="A79" s="62"/>
      <c r="B79" s="21" t="s">
        <v>2400</v>
      </c>
      <c r="C79" s="21">
        <v>2</v>
      </c>
    </row>
    <row r="80" spans="1:22" x14ac:dyDescent="0.2">
      <c r="A80" s="62"/>
    </row>
    <row r="81" spans="1:27" x14ac:dyDescent="0.2">
      <c r="A81" s="62"/>
    </row>
    <row r="82" spans="1:27" x14ac:dyDescent="0.2">
      <c r="A82" s="62" t="s">
        <v>382</v>
      </c>
    </row>
    <row r="83" spans="1:27" x14ac:dyDescent="0.2">
      <c r="A83" s="62" t="s">
        <v>2401</v>
      </c>
      <c r="U83" s="143" t="s">
        <v>1308</v>
      </c>
    </row>
    <row r="84" spans="1:27" x14ac:dyDescent="0.2">
      <c r="A84" s="62" t="s">
        <v>1306</v>
      </c>
    </row>
    <row r="85" spans="1:27" x14ac:dyDescent="0.2">
      <c r="A85" s="62"/>
    </row>
    <row r="86" spans="1:27" x14ac:dyDescent="0.2">
      <c r="A86" s="317" t="s">
        <v>71</v>
      </c>
      <c r="B86" s="14" t="s">
        <v>2402</v>
      </c>
      <c r="C86" s="34" t="s">
        <v>2403</v>
      </c>
      <c r="D86" s="34" t="s">
        <v>1250</v>
      </c>
      <c r="E86" s="32"/>
      <c r="F86" s="32"/>
      <c r="M86" s="21" t="s">
        <v>262</v>
      </c>
      <c r="W86" s="4" t="s">
        <v>1340</v>
      </c>
      <c r="AA86" s="1" t="s">
        <v>1318</v>
      </c>
    </row>
    <row r="87" spans="1:27" x14ac:dyDescent="0.2">
      <c r="A87" s="317">
        <v>0</v>
      </c>
      <c r="B87" s="14">
        <f>-5</f>
        <v>-5</v>
      </c>
      <c r="C87" s="34">
        <f>80-A87-2</f>
        <v>78</v>
      </c>
      <c r="D87" s="34">
        <f>B87+C87</f>
        <v>73</v>
      </c>
      <c r="E87" s="32" t="s">
        <v>2404</v>
      </c>
      <c r="F87" s="32"/>
      <c r="M87" s="21"/>
      <c r="W87" s="4"/>
    </row>
    <row r="88" spans="1:27" x14ac:dyDescent="0.2">
      <c r="A88" s="318">
        <v>50</v>
      </c>
      <c r="B88" s="14">
        <f>-5</f>
        <v>-5</v>
      </c>
      <c r="C88" s="14">
        <f>80-A88-2</f>
        <v>28</v>
      </c>
      <c r="D88" s="34">
        <f t="shared" ref="D88:D98" si="7">B88+C88</f>
        <v>23</v>
      </c>
    </row>
    <row r="89" spans="1:27" x14ac:dyDescent="0.2">
      <c r="A89" s="318">
        <f>A88+10</f>
        <v>60</v>
      </c>
      <c r="B89" s="14">
        <f t="shared" ref="B89:B94" si="8">-5</f>
        <v>-5</v>
      </c>
      <c r="C89" s="14">
        <f t="shared" ref="C89:C91" si="9">80-A89-2</f>
        <v>18</v>
      </c>
      <c r="D89" s="34">
        <f t="shared" si="7"/>
        <v>13</v>
      </c>
    </row>
    <row r="90" spans="1:27" x14ac:dyDescent="0.2">
      <c r="A90" s="318">
        <f t="shared" ref="A90:A98" si="10">A89+10</f>
        <v>70</v>
      </c>
      <c r="B90" s="14">
        <f t="shared" si="8"/>
        <v>-5</v>
      </c>
      <c r="C90" s="14">
        <f t="shared" si="9"/>
        <v>8</v>
      </c>
      <c r="D90" s="34">
        <f t="shared" si="7"/>
        <v>3</v>
      </c>
    </row>
    <row r="91" spans="1:27" x14ac:dyDescent="0.2">
      <c r="A91" s="318">
        <f t="shared" si="10"/>
        <v>80</v>
      </c>
      <c r="B91" s="14">
        <f t="shared" si="8"/>
        <v>-5</v>
      </c>
      <c r="C91" s="14">
        <f t="shared" si="9"/>
        <v>-2</v>
      </c>
      <c r="D91" s="34">
        <f t="shared" si="7"/>
        <v>-7</v>
      </c>
    </row>
    <row r="92" spans="1:27" x14ac:dyDescent="0.2">
      <c r="A92" s="318">
        <f t="shared" si="10"/>
        <v>90</v>
      </c>
      <c r="B92" s="14">
        <f t="shared" si="8"/>
        <v>-5</v>
      </c>
      <c r="C92" s="14">
        <f>C91</f>
        <v>-2</v>
      </c>
      <c r="D92" s="34">
        <f t="shared" si="7"/>
        <v>-7</v>
      </c>
    </row>
    <row r="93" spans="1:27" x14ac:dyDescent="0.2">
      <c r="A93" s="318">
        <f t="shared" si="10"/>
        <v>100</v>
      </c>
      <c r="B93" s="14">
        <f t="shared" si="8"/>
        <v>-5</v>
      </c>
      <c r="C93" s="14">
        <f t="shared" ref="C93:C98" si="11">C92</f>
        <v>-2</v>
      </c>
      <c r="D93" s="34">
        <f t="shared" si="7"/>
        <v>-7</v>
      </c>
    </row>
    <row r="94" spans="1:27" x14ac:dyDescent="0.2">
      <c r="A94" s="318">
        <f t="shared" si="10"/>
        <v>110</v>
      </c>
      <c r="B94" s="14">
        <f t="shared" si="8"/>
        <v>-5</v>
      </c>
      <c r="C94" s="14">
        <f t="shared" si="11"/>
        <v>-2</v>
      </c>
      <c r="D94" s="34">
        <f t="shared" si="7"/>
        <v>-7</v>
      </c>
    </row>
    <row r="95" spans="1:27" x14ac:dyDescent="0.2">
      <c r="A95" s="318">
        <f t="shared" si="10"/>
        <v>120</v>
      </c>
      <c r="B95" s="14">
        <f>A95-110-5</f>
        <v>5</v>
      </c>
      <c r="C95" s="14">
        <f t="shared" si="11"/>
        <v>-2</v>
      </c>
      <c r="D95" s="34">
        <f t="shared" si="7"/>
        <v>3</v>
      </c>
    </row>
    <row r="96" spans="1:27" x14ac:dyDescent="0.2">
      <c r="A96" s="318">
        <f t="shared" si="10"/>
        <v>130</v>
      </c>
      <c r="B96" s="14">
        <f t="shared" ref="B96:B98" si="12">A96-110-5</f>
        <v>15</v>
      </c>
      <c r="C96" s="14">
        <f t="shared" si="11"/>
        <v>-2</v>
      </c>
      <c r="D96" s="34">
        <f t="shared" si="7"/>
        <v>13</v>
      </c>
    </row>
    <row r="97" spans="1:4" x14ac:dyDescent="0.2">
      <c r="A97" s="318">
        <f t="shared" si="10"/>
        <v>140</v>
      </c>
      <c r="B97" s="14">
        <f t="shared" si="12"/>
        <v>25</v>
      </c>
      <c r="C97" s="14">
        <f t="shared" si="11"/>
        <v>-2</v>
      </c>
      <c r="D97" s="34">
        <f t="shared" si="7"/>
        <v>23</v>
      </c>
    </row>
    <row r="98" spans="1:4" x14ac:dyDescent="0.2">
      <c r="A98" s="318">
        <f t="shared" si="10"/>
        <v>150</v>
      </c>
      <c r="B98" s="14">
        <f t="shared" si="12"/>
        <v>35</v>
      </c>
      <c r="C98" s="14">
        <f t="shared" si="11"/>
        <v>-2</v>
      </c>
      <c r="D98" s="34">
        <f t="shared" si="7"/>
        <v>33</v>
      </c>
    </row>
    <row r="99" spans="1:4" x14ac:dyDescent="0.2">
      <c r="A99" s="62"/>
    </row>
    <row r="100" spans="1:4" x14ac:dyDescent="0.2">
      <c r="A100" s="62"/>
    </row>
    <row r="101" spans="1:4" x14ac:dyDescent="0.2">
      <c r="A101" s="62"/>
    </row>
    <row r="102" spans="1:4" x14ac:dyDescent="0.2">
      <c r="A102" s="62"/>
    </row>
    <row r="103" spans="1:4" x14ac:dyDescent="0.2">
      <c r="A103" s="62"/>
    </row>
    <row r="104" spans="1:4" x14ac:dyDescent="0.2">
      <c r="A104" s="62"/>
    </row>
    <row r="105" spans="1:4" x14ac:dyDescent="0.2">
      <c r="A105" s="62"/>
    </row>
    <row r="106" spans="1:4" x14ac:dyDescent="0.2">
      <c r="A106" s="62"/>
    </row>
    <row r="107" spans="1:4" x14ac:dyDescent="0.2">
      <c r="A107" s="62"/>
    </row>
    <row r="108" spans="1:4" x14ac:dyDescent="0.2">
      <c r="A108" s="62"/>
    </row>
    <row r="109" spans="1:4" x14ac:dyDescent="0.2">
      <c r="A109" s="62"/>
    </row>
    <row r="110" spans="1:4" x14ac:dyDescent="0.2">
      <c r="A110" s="62"/>
    </row>
    <row r="111" spans="1:4" x14ac:dyDescent="0.2">
      <c r="A111" s="62"/>
    </row>
    <row r="112" spans="1:4" x14ac:dyDescent="0.2">
      <c r="A112" s="62"/>
    </row>
    <row r="113" spans="1:23" x14ac:dyDescent="0.2">
      <c r="A113" s="62"/>
    </row>
    <row r="114" spans="1:23" x14ac:dyDescent="0.2">
      <c r="A114" s="62"/>
    </row>
    <row r="115" spans="1:23" x14ac:dyDescent="0.2">
      <c r="A115" s="62"/>
    </row>
    <row r="116" spans="1:23" x14ac:dyDescent="0.2">
      <c r="A116" s="62"/>
    </row>
    <row r="117" spans="1:23" x14ac:dyDescent="0.2">
      <c r="A117" s="62"/>
    </row>
    <row r="118" spans="1:23" x14ac:dyDescent="0.2">
      <c r="A118" s="62"/>
    </row>
    <row r="119" spans="1:23" x14ac:dyDescent="0.2">
      <c r="A119" s="62"/>
    </row>
    <row r="120" spans="1:23" x14ac:dyDescent="0.2">
      <c r="A120" s="62"/>
    </row>
    <row r="121" spans="1:23" x14ac:dyDescent="0.2">
      <c r="A121" s="62"/>
    </row>
    <row r="122" spans="1:23" x14ac:dyDescent="0.2">
      <c r="A122" s="62"/>
    </row>
    <row r="123" spans="1:23" x14ac:dyDescent="0.2">
      <c r="A123" s="62"/>
    </row>
    <row r="124" spans="1:23" x14ac:dyDescent="0.2">
      <c r="A124" s="62"/>
    </row>
    <row r="125" spans="1:23" x14ac:dyDescent="0.2">
      <c r="A125" s="62"/>
    </row>
    <row r="126" spans="1:23" x14ac:dyDescent="0.2">
      <c r="A126" s="62"/>
    </row>
    <row r="127" spans="1:23" x14ac:dyDescent="0.2">
      <c r="A127" s="62"/>
    </row>
    <row r="128" spans="1:23" x14ac:dyDescent="0.2">
      <c r="A128" s="62"/>
      <c r="V128" s="1" t="s">
        <v>1332</v>
      </c>
      <c r="W128" s="1" t="s">
        <v>1333</v>
      </c>
    </row>
    <row r="129" spans="1:22" x14ac:dyDescent="0.2">
      <c r="A129" s="62"/>
    </row>
    <row r="130" spans="1:22" x14ac:dyDescent="0.2">
      <c r="A130" s="62"/>
      <c r="V130" s="1" t="s">
        <v>1354</v>
      </c>
    </row>
    <row r="131" spans="1:22" ht="17" thickBot="1" x14ac:dyDescent="0.25">
      <c r="A131" s="62"/>
      <c r="V131" s="1" t="s">
        <v>1355</v>
      </c>
    </row>
    <row r="132" spans="1:22" x14ac:dyDescent="0.2">
      <c r="A132" s="63" t="s">
        <v>1352</v>
      </c>
      <c r="B132" s="113"/>
      <c r="C132" s="39"/>
      <c r="D132" s="39"/>
      <c r="E132" s="39"/>
      <c r="F132" s="39"/>
      <c r="G132" s="39"/>
      <c r="H132" s="40"/>
      <c r="V132" s="1" t="s">
        <v>1356</v>
      </c>
    </row>
    <row r="133" spans="1:22" x14ac:dyDescent="0.2">
      <c r="A133" s="95" t="s">
        <v>1342</v>
      </c>
      <c r="B133" s="4"/>
      <c r="H133" s="42"/>
      <c r="V133" s="1" t="s">
        <v>1357</v>
      </c>
    </row>
    <row r="134" spans="1:22" x14ac:dyDescent="0.2">
      <c r="A134" s="95" t="s">
        <v>1343</v>
      </c>
      <c r="B134" s="4"/>
      <c r="H134" s="42"/>
      <c r="V134" s="1" t="s">
        <v>1358</v>
      </c>
    </row>
    <row r="135" spans="1:22" x14ac:dyDescent="0.2">
      <c r="A135" s="95" t="s">
        <v>1344</v>
      </c>
      <c r="B135" s="4"/>
      <c r="H135" s="42"/>
      <c r="V135" s="1" t="s">
        <v>1359</v>
      </c>
    </row>
    <row r="136" spans="1:22" x14ac:dyDescent="0.2">
      <c r="A136" s="95" t="s">
        <v>1345</v>
      </c>
      <c r="B136" s="4"/>
      <c r="H136" s="42"/>
    </row>
    <row r="137" spans="1:22" x14ac:dyDescent="0.2">
      <c r="A137" s="95" t="s">
        <v>1346</v>
      </c>
      <c r="B137" s="4"/>
      <c r="H137" s="42"/>
    </row>
    <row r="138" spans="1:22" x14ac:dyDescent="0.2">
      <c r="A138" s="95" t="s">
        <v>1347</v>
      </c>
      <c r="B138" s="4"/>
      <c r="H138" s="42"/>
    </row>
    <row r="139" spans="1:22" x14ac:dyDescent="0.2">
      <c r="A139" s="95" t="s">
        <v>1348</v>
      </c>
      <c r="B139" s="4"/>
      <c r="H139" s="42"/>
    </row>
    <row r="140" spans="1:22" x14ac:dyDescent="0.2">
      <c r="A140" s="95" t="s">
        <v>1349</v>
      </c>
      <c r="B140" s="4"/>
      <c r="H140" s="42"/>
    </row>
    <row r="141" spans="1:22" x14ac:dyDescent="0.2">
      <c r="A141" s="95" t="s">
        <v>1350</v>
      </c>
      <c r="B141" s="4"/>
      <c r="H141" s="42"/>
    </row>
    <row r="142" spans="1:22" ht="17" thickBot="1" x14ac:dyDescent="0.25">
      <c r="A142" s="215" t="s">
        <v>1351</v>
      </c>
      <c r="B142" s="115"/>
      <c r="C142" s="44"/>
      <c r="D142" s="44"/>
      <c r="E142" s="44"/>
      <c r="F142" s="44"/>
      <c r="G142" s="44"/>
      <c r="H142" s="45"/>
    </row>
    <row r="143" spans="1:22" x14ac:dyDescent="0.2">
      <c r="A143" s="62"/>
    </row>
    <row r="144" spans="1:22" ht="17" thickBot="1" x14ac:dyDescent="0.25">
      <c r="A144" s="62"/>
    </row>
    <row r="145" spans="1:18" ht="17" thickBot="1" x14ac:dyDescent="0.25">
      <c r="A145" s="50" t="s">
        <v>1360</v>
      </c>
      <c r="B145" s="51"/>
      <c r="C145" s="51"/>
      <c r="D145" s="51"/>
      <c r="E145" s="51"/>
      <c r="F145" s="51"/>
      <c r="G145" s="51"/>
      <c r="H145" s="52"/>
      <c r="R145" s="1" t="s">
        <v>1334</v>
      </c>
    </row>
    <row r="146" spans="1:18" x14ac:dyDescent="0.2">
      <c r="A146" s="62"/>
    </row>
    <row r="147" spans="1:18" x14ac:dyDescent="0.2">
      <c r="A147" s="62" t="s">
        <v>403</v>
      </c>
    </row>
    <row r="148" spans="1:18" x14ac:dyDescent="0.2">
      <c r="A148" s="62" t="s">
        <v>404</v>
      </c>
    </row>
    <row r="149" spans="1:18" x14ac:dyDescent="0.2">
      <c r="A149" s="62"/>
    </row>
    <row r="150" spans="1:18" x14ac:dyDescent="0.2">
      <c r="A150" s="62"/>
      <c r="B150" s="75" t="s">
        <v>368</v>
      </c>
      <c r="C150" s="75" t="s">
        <v>394</v>
      </c>
      <c r="F150" s="1" t="s">
        <v>443</v>
      </c>
      <c r="G150" s="1" t="s">
        <v>442</v>
      </c>
    </row>
    <row r="151" spans="1:18" x14ac:dyDescent="0.2">
      <c r="A151" s="62"/>
      <c r="B151" s="21" t="s">
        <v>395</v>
      </c>
      <c r="C151" s="21">
        <v>15</v>
      </c>
      <c r="F151" s="1" t="s">
        <v>444</v>
      </c>
      <c r="G151" s="1" t="s">
        <v>442</v>
      </c>
    </row>
    <row r="152" spans="1:18" x14ac:dyDescent="0.2">
      <c r="A152" s="62"/>
      <c r="B152" s="21" t="s">
        <v>396</v>
      </c>
      <c r="C152" s="21">
        <v>30</v>
      </c>
    </row>
    <row r="153" spans="1:18" x14ac:dyDescent="0.2">
      <c r="A153" s="62"/>
      <c r="B153" s="21" t="s">
        <v>405</v>
      </c>
      <c r="C153" s="21">
        <v>40</v>
      </c>
    </row>
    <row r="154" spans="1:18" s="25" customFormat="1" x14ac:dyDescent="0.2">
      <c r="A154" s="62"/>
      <c r="B154" s="21" t="s">
        <v>399</v>
      </c>
      <c r="C154" s="21">
        <v>40</v>
      </c>
      <c r="D154" s="1"/>
      <c r="E154" s="1"/>
      <c r="F154" s="1"/>
      <c r="G154" s="1"/>
      <c r="H154" s="1"/>
    </row>
    <row r="155" spans="1:18" s="25" customFormat="1" x14ac:dyDescent="0.2">
      <c r="A155" s="62"/>
      <c r="B155" s="21" t="s">
        <v>408</v>
      </c>
      <c r="C155" s="21">
        <v>5</v>
      </c>
      <c r="D155" s="1"/>
      <c r="E155" s="1"/>
      <c r="F155" s="1"/>
      <c r="G155" s="1"/>
      <c r="H155" s="1"/>
    </row>
    <row r="156" spans="1:18" s="25" customFormat="1" x14ac:dyDescent="0.2">
      <c r="A156" s="62"/>
      <c r="B156" s="1"/>
      <c r="C156" s="1"/>
      <c r="D156" s="1"/>
      <c r="E156" s="1"/>
      <c r="F156" s="1"/>
      <c r="G156" s="1"/>
      <c r="H156" s="1"/>
    </row>
    <row r="157" spans="1:18" s="25" customFormat="1" x14ac:dyDescent="0.2">
      <c r="A157" s="62" t="s">
        <v>382</v>
      </c>
      <c r="B157" s="1"/>
      <c r="C157" s="1"/>
      <c r="D157" s="1"/>
      <c r="E157" s="1"/>
      <c r="F157" s="1"/>
      <c r="G157" s="1"/>
      <c r="H157" s="1"/>
    </row>
    <row r="158" spans="1:18" s="25" customFormat="1" x14ac:dyDescent="0.2">
      <c r="A158" s="62" t="s">
        <v>383</v>
      </c>
      <c r="B158" s="1"/>
      <c r="C158" s="1"/>
      <c r="D158" s="1"/>
      <c r="E158" s="1"/>
      <c r="F158" s="1"/>
      <c r="G158" s="1"/>
      <c r="H158" s="1"/>
    </row>
    <row r="159" spans="1:18" s="25" customFormat="1" x14ac:dyDescent="0.2">
      <c r="A159" s="62" t="s">
        <v>384</v>
      </c>
      <c r="B159" s="1"/>
      <c r="C159" s="1"/>
      <c r="D159" s="1"/>
      <c r="E159" s="1"/>
      <c r="F159" s="1"/>
      <c r="G159" s="1"/>
      <c r="H159" s="1"/>
    </row>
    <row r="160" spans="1:18" s="25" customFormat="1" ht="17" thickBot="1" x14ac:dyDescent="0.25">
      <c r="A160" s="62"/>
      <c r="B160" s="1"/>
      <c r="C160" s="1"/>
      <c r="D160" s="1"/>
      <c r="E160" s="1"/>
      <c r="F160" s="1"/>
      <c r="G160" s="1"/>
      <c r="H160" s="1"/>
    </row>
    <row r="161" spans="1:8" s="25" customFormat="1" x14ac:dyDescent="0.2">
      <c r="A161" s="84" t="s">
        <v>78</v>
      </c>
      <c r="B161" s="23"/>
      <c r="C161" s="23"/>
      <c r="D161" s="23"/>
      <c r="E161" s="23"/>
      <c r="F161" s="23"/>
      <c r="G161" s="23"/>
      <c r="H161" s="24"/>
    </row>
    <row r="162" spans="1:8" s="25" customFormat="1" x14ac:dyDescent="0.2">
      <c r="A162" s="78"/>
      <c r="H162" s="27"/>
    </row>
    <row r="163" spans="1:8" s="25" customFormat="1" ht="17" thickBot="1" x14ac:dyDescent="0.25">
      <c r="A163" s="79" t="s">
        <v>71</v>
      </c>
      <c r="B163" s="32" t="s">
        <v>406</v>
      </c>
      <c r="C163" s="32" t="s">
        <v>409</v>
      </c>
      <c r="D163" s="32" t="s">
        <v>407</v>
      </c>
      <c r="E163" s="32" t="s">
        <v>410</v>
      </c>
      <c r="F163" s="32" t="s">
        <v>381</v>
      </c>
      <c r="H163" s="27"/>
    </row>
    <row r="164" spans="1:8" s="25" customFormat="1" x14ac:dyDescent="0.2">
      <c r="A164" s="91">
        <v>0</v>
      </c>
      <c r="B164" s="32">
        <f t="shared" ref="B164:B174" si="13">IF(A164&gt;50,A164-50,0)</f>
        <v>0</v>
      </c>
      <c r="C164" s="32">
        <f t="shared" ref="C164:C174" si="14">IF(A164&lt;25,25-A164,0)</f>
        <v>25</v>
      </c>
      <c r="D164" s="32">
        <f t="shared" ref="D164:D174" si="15">B164-15</f>
        <v>-15</v>
      </c>
      <c r="E164" s="32">
        <f t="shared" ref="E164:E174" si="16">C164-5</f>
        <v>20</v>
      </c>
      <c r="F164" s="89">
        <f t="shared" ref="F164:F174" si="17">D164+E164</f>
        <v>5</v>
      </c>
      <c r="H164" s="27"/>
    </row>
    <row r="165" spans="1:8" s="25" customFormat="1" ht="17" thickBot="1" x14ac:dyDescent="0.25">
      <c r="A165" s="92">
        <f t="shared" ref="A165:A174" si="18">A164+10</f>
        <v>10</v>
      </c>
      <c r="B165" s="32">
        <f t="shared" si="13"/>
        <v>0</v>
      </c>
      <c r="C165" s="32">
        <f t="shared" si="14"/>
        <v>15</v>
      </c>
      <c r="D165" s="32">
        <f t="shared" si="15"/>
        <v>-15</v>
      </c>
      <c r="E165" s="32">
        <f t="shared" si="16"/>
        <v>10</v>
      </c>
      <c r="F165" s="90">
        <f t="shared" si="17"/>
        <v>-5</v>
      </c>
      <c r="H165" s="27"/>
    </row>
    <row r="166" spans="1:8" s="25" customFormat="1" x14ac:dyDescent="0.2">
      <c r="A166" s="79">
        <f t="shared" si="18"/>
        <v>20</v>
      </c>
      <c r="B166" s="32">
        <f t="shared" si="13"/>
        <v>0</v>
      </c>
      <c r="C166" s="32">
        <f t="shared" si="14"/>
        <v>5</v>
      </c>
      <c r="D166" s="32">
        <f t="shared" si="15"/>
        <v>-15</v>
      </c>
      <c r="E166" s="32">
        <f t="shared" si="16"/>
        <v>0</v>
      </c>
      <c r="F166" s="32">
        <f t="shared" si="17"/>
        <v>-15</v>
      </c>
      <c r="H166" s="27"/>
    </row>
    <row r="167" spans="1:8" s="25" customFormat="1" x14ac:dyDescent="0.2">
      <c r="A167" s="79">
        <f t="shared" si="18"/>
        <v>30</v>
      </c>
      <c r="B167" s="32">
        <f t="shared" si="13"/>
        <v>0</v>
      </c>
      <c r="C167" s="32">
        <f t="shared" si="14"/>
        <v>0</v>
      </c>
      <c r="D167" s="32">
        <f t="shared" si="15"/>
        <v>-15</v>
      </c>
      <c r="E167" s="32">
        <f t="shared" si="16"/>
        <v>-5</v>
      </c>
      <c r="F167" s="32">
        <f t="shared" si="17"/>
        <v>-20</v>
      </c>
      <c r="H167" s="27"/>
    </row>
    <row r="168" spans="1:8" s="25" customFormat="1" x14ac:dyDescent="0.2">
      <c r="A168" s="79">
        <f t="shared" si="18"/>
        <v>40</v>
      </c>
      <c r="B168" s="32">
        <f t="shared" si="13"/>
        <v>0</v>
      </c>
      <c r="C168" s="32">
        <f t="shared" si="14"/>
        <v>0</v>
      </c>
      <c r="D168" s="32">
        <f t="shared" si="15"/>
        <v>-15</v>
      </c>
      <c r="E168" s="32">
        <f t="shared" si="16"/>
        <v>-5</v>
      </c>
      <c r="F168" s="32">
        <f t="shared" si="17"/>
        <v>-20</v>
      </c>
      <c r="H168" s="27"/>
    </row>
    <row r="169" spans="1:8" s="25" customFormat="1" ht="17" thickBot="1" x14ac:dyDescent="0.25">
      <c r="A169" s="79">
        <f t="shared" si="18"/>
        <v>50</v>
      </c>
      <c r="B169" s="32">
        <f t="shared" si="13"/>
        <v>0</v>
      </c>
      <c r="C169" s="32">
        <f t="shared" si="14"/>
        <v>0</v>
      </c>
      <c r="D169" s="32">
        <f t="shared" si="15"/>
        <v>-15</v>
      </c>
      <c r="E169" s="32">
        <f t="shared" si="16"/>
        <v>-5</v>
      </c>
      <c r="F169" s="32">
        <f t="shared" si="17"/>
        <v>-20</v>
      </c>
      <c r="H169" s="27"/>
    </row>
    <row r="170" spans="1:8" x14ac:dyDescent="0.2">
      <c r="A170" s="94">
        <f t="shared" si="18"/>
        <v>60</v>
      </c>
      <c r="B170" s="32">
        <f t="shared" si="13"/>
        <v>10</v>
      </c>
      <c r="C170" s="32">
        <f t="shared" si="14"/>
        <v>0</v>
      </c>
      <c r="D170" s="32">
        <f t="shared" si="15"/>
        <v>-5</v>
      </c>
      <c r="E170" s="32">
        <f t="shared" si="16"/>
        <v>-5</v>
      </c>
      <c r="F170" s="93">
        <f t="shared" si="17"/>
        <v>-10</v>
      </c>
      <c r="G170" s="25"/>
      <c r="H170" s="27"/>
    </row>
    <row r="171" spans="1:8" ht="17" thickBot="1" x14ac:dyDescent="0.25">
      <c r="A171" s="92">
        <f t="shared" si="18"/>
        <v>70</v>
      </c>
      <c r="B171" s="32">
        <f t="shared" si="13"/>
        <v>20</v>
      </c>
      <c r="C171" s="32">
        <f t="shared" si="14"/>
        <v>0</v>
      </c>
      <c r="D171" s="32">
        <f t="shared" si="15"/>
        <v>5</v>
      </c>
      <c r="E171" s="32">
        <f t="shared" si="16"/>
        <v>-5</v>
      </c>
      <c r="F171" s="90">
        <f t="shared" si="17"/>
        <v>0</v>
      </c>
      <c r="G171" s="25"/>
      <c r="H171" s="27"/>
    </row>
    <row r="172" spans="1:8" x14ac:dyDescent="0.2">
      <c r="A172" s="79">
        <f t="shared" si="18"/>
        <v>80</v>
      </c>
      <c r="B172" s="32">
        <f t="shared" si="13"/>
        <v>30</v>
      </c>
      <c r="C172" s="32">
        <f t="shared" si="14"/>
        <v>0</v>
      </c>
      <c r="D172" s="32">
        <f t="shared" si="15"/>
        <v>15</v>
      </c>
      <c r="E172" s="32">
        <f t="shared" si="16"/>
        <v>-5</v>
      </c>
      <c r="F172" s="32">
        <f t="shared" si="17"/>
        <v>10</v>
      </c>
      <c r="G172" s="25"/>
      <c r="H172" s="27"/>
    </row>
    <row r="173" spans="1:8" x14ac:dyDescent="0.2">
      <c r="A173" s="79">
        <f t="shared" si="18"/>
        <v>90</v>
      </c>
      <c r="B173" s="32">
        <f t="shared" si="13"/>
        <v>40</v>
      </c>
      <c r="C173" s="32">
        <f t="shared" si="14"/>
        <v>0</v>
      </c>
      <c r="D173" s="32">
        <f t="shared" si="15"/>
        <v>25</v>
      </c>
      <c r="E173" s="32">
        <f t="shared" si="16"/>
        <v>-5</v>
      </c>
      <c r="F173" s="32">
        <f t="shared" si="17"/>
        <v>20</v>
      </c>
      <c r="G173" s="25"/>
      <c r="H173" s="27"/>
    </row>
    <row r="174" spans="1:8" x14ac:dyDescent="0.2">
      <c r="A174" s="79">
        <f t="shared" si="18"/>
        <v>100</v>
      </c>
      <c r="B174" s="32">
        <f t="shared" si="13"/>
        <v>50</v>
      </c>
      <c r="C174" s="32">
        <f t="shared" si="14"/>
        <v>0</v>
      </c>
      <c r="D174" s="32">
        <f t="shared" si="15"/>
        <v>35</v>
      </c>
      <c r="E174" s="32">
        <f t="shared" si="16"/>
        <v>-5</v>
      </c>
      <c r="F174" s="32">
        <f t="shared" si="17"/>
        <v>30</v>
      </c>
      <c r="G174" s="25"/>
      <c r="H174" s="27"/>
    </row>
    <row r="175" spans="1:8" x14ac:dyDescent="0.2">
      <c r="A175" s="78"/>
      <c r="B175" s="25"/>
      <c r="C175" s="25"/>
      <c r="D175" s="25"/>
      <c r="E175" s="25"/>
      <c r="F175" s="25"/>
      <c r="G175" s="25"/>
      <c r="H175" s="27"/>
    </row>
    <row r="176" spans="1:8" x14ac:dyDescent="0.2">
      <c r="A176" s="54" t="s">
        <v>469</v>
      </c>
      <c r="B176" s="25"/>
      <c r="C176" s="25"/>
      <c r="D176" s="25"/>
      <c r="E176" s="25"/>
      <c r="F176" s="25"/>
      <c r="G176" s="25"/>
      <c r="H176" s="27"/>
    </row>
    <row r="177" spans="1:8" x14ac:dyDescent="0.2">
      <c r="A177" s="54" t="s">
        <v>470</v>
      </c>
      <c r="H177" s="42"/>
    </row>
    <row r="178" spans="1:8" x14ac:dyDescent="0.2">
      <c r="A178" s="54" t="s">
        <v>1429</v>
      </c>
      <c r="H178" s="42"/>
    </row>
    <row r="179" spans="1:8" x14ac:dyDescent="0.2">
      <c r="A179" s="64"/>
      <c r="H179" s="42"/>
    </row>
    <row r="180" spans="1:8" x14ac:dyDescent="0.2">
      <c r="A180" s="64"/>
      <c r="H180" s="42"/>
    </row>
    <row r="181" spans="1:8" x14ac:dyDescent="0.2">
      <c r="A181" s="64"/>
      <c r="H181" s="42"/>
    </row>
    <row r="182" spans="1:8" x14ac:dyDescent="0.2">
      <c r="A182" s="64"/>
      <c r="H182" s="42"/>
    </row>
    <row r="183" spans="1:8" ht="17" thickBot="1" x14ac:dyDescent="0.25">
      <c r="A183" s="65"/>
      <c r="B183" s="44"/>
      <c r="C183" s="44"/>
      <c r="D183" s="44"/>
      <c r="E183" s="44"/>
      <c r="F183" s="44"/>
      <c r="G183" s="44"/>
      <c r="H183" s="45"/>
    </row>
    <row r="184" spans="1:8" x14ac:dyDescent="0.2">
      <c r="A184" s="62"/>
    </row>
    <row r="185" spans="1:8" x14ac:dyDescent="0.2">
      <c r="A185" s="62"/>
      <c r="B185" s="25" t="s">
        <v>468</v>
      </c>
      <c r="C185" s="25"/>
      <c r="D185" s="25"/>
    </row>
    <row r="186" spans="1:8" x14ac:dyDescent="0.2">
      <c r="A186" s="62"/>
      <c r="B186" s="25"/>
      <c r="C186" s="25"/>
      <c r="D186" s="25" t="s">
        <v>262</v>
      </c>
    </row>
    <row r="187" spans="1:8" x14ac:dyDescent="0.2">
      <c r="A187" s="62"/>
      <c r="B187" s="25"/>
      <c r="C187" s="25"/>
      <c r="D187" s="25"/>
    </row>
    <row r="188" spans="1:8" x14ac:dyDescent="0.2">
      <c r="A188" s="62"/>
      <c r="B188" s="25"/>
      <c r="C188" s="25"/>
      <c r="D188" s="25"/>
    </row>
    <row r="189" spans="1:8" x14ac:dyDescent="0.2">
      <c r="A189" s="62"/>
      <c r="B189" s="25"/>
      <c r="C189" s="25"/>
      <c r="D189" s="25"/>
    </row>
    <row r="190" spans="1:8" x14ac:dyDescent="0.2">
      <c r="A190" s="62"/>
      <c r="B190" s="25"/>
      <c r="C190" s="25"/>
      <c r="D190" s="82">
        <v>5</v>
      </c>
    </row>
    <row r="191" spans="1:8" x14ac:dyDescent="0.2">
      <c r="A191" s="62"/>
      <c r="B191" s="25"/>
      <c r="C191" s="25"/>
      <c r="D191" s="25"/>
    </row>
    <row r="192" spans="1:8" x14ac:dyDescent="0.2">
      <c r="A192" s="62"/>
      <c r="B192" s="25"/>
      <c r="C192" s="25"/>
      <c r="D192" s="25"/>
    </row>
    <row r="193" spans="1:5" x14ac:dyDescent="0.2">
      <c r="A193" s="62"/>
      <c r="B193" s="32">
        <v>70</v>
      </c>
      <c r="C193" s="25"/>
      <c r="D193" s="25"/>
    </row>
    <row r="194" spans="1:5" x14ac:dyDescent="0.2">
      <c r="A194" s="62"/>
      <c r="B194" s="33" t="s">
        <v>71</v>
      </c>
      <c r="C194" s="25"/>
      <c r="D194" s="32">
        <v>5</v>
      </c>
    </row>
    <row r="195" spans="1:5" x14ac:dyDescent="0.2">
      <c r="A195" s="62"/>
      <c r="B195" s="25"/>
      <c r="C195" s="25"/>
      <c r="D195" s="25"/>
      <c r="E195" s="334">
        <v>-20</v>
      </c>
    </row>
    <row r="196" spans="1:5" x14ac:dyDescent="0.2">
      <c r="A196" s="62"/>
      <c r="B196" s="25"/>
      <c r="C196" s="25"/>
      <c r="D196" s="25"/>
      <c r="E196" s="334"/>
    </row>
    <row r="197" spans="1:5" x14ac:dyDescent="0.2">
      <c r="A197" s="62"/>
      <c r="B197" s="25"/>
      <c r="C197" s="25"/>
      <c r="D197" s="25"/>
    </row>
    <row r="198" spans="1:5" x14ac:dyDescent="0.2">
      <c r="A198" s="62"/>
      <c r="B198" s="25"/>
      <c r="C198" s="25"/>
      <c r="D198" s="25"/>
    </row>
    <row r="199" spans="1:5" x14ac:dyDescent="0.2">
      <c r="A199" s="62"/>
    </row>
    <row r="200" spans="1:5" x14ac:dyDescent="0.2">
      <c r="A200" s="62"/>
    </row>
    <row r="201" spans="1:5" x14ac:dyDescent="0.2">
      <c r="A201" s="62"/>
    </row>
    <row r="202" spans="1:5" x14ac:dyDescent="0.2">
      <c r="A202" s="62"/>
    </row>
    <row r="203" spans="1:5" x14ac:dyDescent="0.2">
      <c r="A203" s="62"/>
    </row>
    <row r="204" spans="1:5" x14ac:dyDescent="0.2">
      <c r="A204" s="62"/>
    </row>
    <row r="205" spans="1:5" x14ac:dyDescent="0.2">
      <c r="A205" s="62"/>
    </row>
    <row r="206" spans="1:5" x14ac:dyDescent="0.2">
      <c r="A206" s="62"/>
    </row>
    <row r="207" spans="1:5" x14ac:dyDescent="0.2">
      <c r="A207" s="62"/>
    </row>
    <row r="208" spans="1:5" x14ac:dyDescent="0.2">
      <c r="A208" s="62"/>
    </row>
    <row r="209" spans="1:1" x14ac:dyDescent="0.2">
      <c r="A209" s="62"/>
    </row>
    <row r="210" spans="1:1" x14ac:dyDescent="0.2">
      <c r="A210" s="62"/>
    </row>
    <row r="211" spans="1:1" x14ac:dyDescent="0.2">
      <c r="A211" s="62"/>
    </row>
    <row r="212" spans="1:1" x14ac:dyDescent="0.2">
      <c r="A212" s="62"/>
    </row>
    <row r="213" spans="1:1" x14ac:dyDescent="0.2">
      <c r="A213" s="62"/>
    </row>
    <row r="214" spans="1:1" x14ac:dyDescent="0.2">
      <c r="A214" s="62"/>
    </row>
    <row r="215" spans="1:1" x14ac:dyDescent="0.2">
      <c r="A215" s="62"/>
    </row>
    <row r="271" spans="1:8" ht="17" thickBot="1" x14ac:dyDescent="0.25"/>
    <row r="272" spans="1:8" x14ac:dyDescent="0.2">
      <c r="A272" s="103" t="s">
        <v>477</v>
      </c>
      <c r="B272" s="71"/>
      <c r="C272" s="71"/>
      <c r="D272" s="71"/>
      <c r="E272" s="71"/>
      <c r="F272" s="71"/>
      <c r="G272" s="71"/>
      <c r="H272" s="72"/>
    </row>
    <row r="273" spans="1:8" x14ac:dyDescent="0.2">
      <c r="A273" s="64">
        <v>1</v>
      </c>
      <c r="B273" s="1" t="s">
        <v>341</v>
      </c>
      <c r="D273" s="1" t="s">
        <v>342</v>
      </c>
      <c r="H273" s="42"/>
    </row>
    <row r="274" spans="1:8" x14ac:dyDescent="0.2">
      <c r="A274" s="64">
        <v>2</v>
      </c>
      <c r="B274" s="1" t="s">
        <v>344</v>
      </c>
      <c r="D274" s="1" t="s">
        <v>345</v>
      </c>
      <c r="H274" s="42"/>
    </row>
    <row r="275" spans="1:8" x14ac:dyDescent="0.2">
      <c r="A275" s="64">
        <v>3</v>
      </c>
      <c r="B275" s="1" t="s">
        <v>347</v>
      </c>
      <c r="D275" s="1" t="s">
        <v>348</v>
      </c>
      <c r="H275" s="42"/>
    </row>
    <row r="276" spans="1:8" x14ac:dyDescent="0.2">
      <c r="A276" s="41"/>
      <c r="H276" s="42"/>
    </row>
    <row r="277" spans="1:8" ht="17" thickBot="1" x14ac:dyDescent="0.25">
      <c r="A277" s="43"/>
      <c r="B277" s="44"/>
      <c r="C277" s="44"/>
      <c r="D277" s="44"/>
      <c r="E277" s="44"/>
      <c r="F277" s="44"/>
      <c r="G277" s="44"/>
      <c r="H277" s="45"/>
    </row>
    <row r="278" spans="1:8" ht="17" thickBot="1" x14ac:dyDescent="0.25"/>
    <row r="279" spans="1:8" x14ac:dyDescent="0.2">
      <c r="A279" s="46" t="s">
        <v>478</v>
      </c>
      <c r="B279" s="39"/>
      <c r="C279" s="39"/>
      <c r="D279" s="39"/>
      <c r="E279" s="39"/>
      <c r="F279" s="39"/>
      <c r="G279" s="39"/>
      <c r="H279" s="40"/>
    </row>
    <row r="280" spans="1:8" ht="17" thickBot="1" x14ac:dyDescent="0.25">
      <c r="A280" s="43">
        <v>4</v>
      </c>
      <c r="B280" s="44" t="s">
        <v>350</v>
      </c>
      <c r="C280" s="44"/>
      <c r="D280" s="44" t="s">
        <v>351</v>
      </c>
      <c r="E280" s="44"/>
      <c r="F280" s="44"/>
      <c r="G280" s="44"/>
      <c r="H280" s="45"/>
    </row>
    <row r="281" spans="1:8" ht="17" thickBot="1" x14ac:dyDescent="0.25"/>
    <row r="282" spans="1:8" x14ac:dyDescent="0.2">
      <c r="A282" s="70" t="s">
        <v>421</v>
      </c>
      <c r="B282" s="71"/>
      <c r="C282" s="71"/>
      <c r="D282" s="71"/>
      <c r="E282" s="71"/>
      <c r="F282" s="71"/>
      <c r="G282" s="71"/>
      <c r="H282" s="72"/>
    </row>
    <row r="283" spans="1:8" x14ac:dyDescent="0.2">
      <c r="A283" s="64"/>
      <c r="H283" s="42"/>
    </row>
    <row r="284" spans="1:8" x14ac:dyDescent="0.2">
      <c r="A284" s="64" t="s">
        <v>360</v>
      </c>
      <c r="B284" s="1" t="s">
        <v>422</v>
      </c>
      <c r="H284" s="42"/>
    </row>
    <row r="285" spans="1:8" x14ac:dyDescent="0.2">
      <c r="A285" s="64"/>
      <c r="B285" s="1" t="s">
        <v>423</v>
      </c>
      <c r="H285" s="42" t="s">
        <v>445</v>
      </c>
    </row>
    <row r="286" spans="1:8" x14ac:dyDescent="0.2">
      <c r="A286" s="64"/>
      <c r="B286" s="1" t="s">
        <v>448</v>
      </c>
      <c r="H286" s="42" t="s">
        <v>446</v>
      </c>
    </row>
    <row r="287" spans="1:8" x14ac:dyDescent="0.2">
      <c r="A287" s="64"/>
      <c r="B287" s="1" t="s">
        <v>424</v>
      </c>
      <c r="H287" s="42" t="s">
        <v>447</v>
      </c>
    </row>
    <row r="288" spans="1:8" x14ac:dyDescent="0.2">
      <c r="A288" s="64"/>
      <c r="H288" s="42"/>
    </row>
    <row r="289" spans="1:8" x14ac:dyDescent="0.2">
      <c r="A289" s="95" t="s">
        <v>362</v>
      </c>
      <c r="B289" s="4" t="s">
        <v>425</v>
      </c>
      <c r="C289" s="4"/>
      <c r="D289" s="4"/>
      <c r="E289" s="4"/>
      <c r="F289" s="4"/>
      <c r="G289" s="4"/>
      <c r="H289" s="96"/>
    </row>
    <row r="290" spans="1:8" x14ac:dyDescent="0.2">
      <c r="A290" s="95"/>
      <c r="B290" s="4" t="s">
        <v>426</v>
      </c>
      <c r="C290" s="4"/>
      <c r="D290" s="4"/>
      <c r="E290" s="4"/>
      <c r="F290" s="4"/>
      <c r="G290" s="4"/>
      <c r="H290" s="96"/>
    </row>
    <row r="291" spans="1:8" x14ac:dyDescent="0.2">
      <c r="A291" s="64"/>
      <c r="H291" s="42"/>
    </row>
    <row r="292" spans="1:8" x14ac:dyDescent="0.2">
      <c r="A292" s="64" t="s">
        <v>364</v>
      </c>
      <c r="B292" s="1" t="s">
        <v>427</v>
      </c>
      <c r="H292" s="42"/>
    </row>
    <row r="293" spans="1:8" x14ac:dyDescent="0.2">
      <c r="A293" s="64"/>
      <c r="H293" s="42"/>
    </row>
    <row r="294" spans="1:8" ht="17" thickBot="1" x14ac:dyDescent="0.25">
      <c r="A294" s="65" t="s">
        <v>365</v>
      </c>
      <c r="B294" s="44" t="s">
        <v>428</v>
      </c>
      <c r="C294" s="44"/>
      <c r="D294" s="44"/>
      <c r="E294" s="44"/>
      <c r="F294" s="44"/>
      <c r="G294" s="44"/>
      <c r="H294" s="45"/>
    </row>
    <row r="295" spans="1:8" ht="17" thickBot="1" x14ac:dyDescent="0.25">
      <c r="A295" s="62"/>
    </row>
    <row r="296" spans="1:8" ht="17" thickBot="1" x14ac:dyDescent="0.25">
      <c r="A296" s="50" t="s">
        <v>429</v>
      </c>
      <c r="B296" s="51"/>
      <c r="C296" s="51"/>
      <c r="D296" s="51"/>
      <c r="E296" s="51"/>
      <c r="F296" s="51"/>
      <c r="G296" s="51"/>
      <c r="H296" s="52"/>
    </row>
    <row r="297" spans="1:8" x14ac:dyDescent="0.2">
      <c r="A297" s="62"/>
    </row>
    <row r="298" spans="1:8" x14ac:dyDescent="0.2">
      <c r="A298" s="62" t="s">
        <v>430</v>
      </c>
    </row>
    <row r="299" spans="1:8" x14ac:dyDescent="0.2">
      <c r="A299" s="62" t="s">
        <v>431</v>
      </c>
    </row>
    <row r="300" spans="1:8" x14ac:dyDescent="0.2">
      <c r="A300" s="62"/>
    </row>
    <row r="301" spans="1:8" ht="17" thickBot="1" x14ac:dyDescent="0.25">
      <c r="A301" s="62"/>
      <c r="B301" s="75" t="s">
        <v>368</v>
      </c>
      <c r="C301" s="75" t="s">
        <v>394</v>
      </c>
    </row>
    <row r="302" spans="1:8" x14ac:dyDescent="0.2">
      <c r="A302" s="62"/>
      <c r="B302" s="60" t="s">
        <v>432</v>
      </c>
      <c r="C302" s="60">
        <v>20</v>
      </c>
      <c r="D302" s="97"/>
      <c r="E302" s="40" t="s">
        <v>445</v>
      </c>
    </row>
    <row r="303" spans="1:8" x14ac:dyDescent="0.2">
      <c r="A303" s="62"/>
      <c r="B303" s="98" t="s">
        <v>434</v>
      </c>
      <c r="C303" s="98">
        <v>10</v>
      </c>
      <c r="D303" s="41"/>
      <c r="E303" s="42" t="s">
        <v>449</v>
      </c>
    </row>
    <row r="304" spans="1:8" ht="17" thickBot="1" x14ac:dyDescent="0.25">
      <c r="A304" s="62"/>
      <c r="B304" s="60" t="s">
        <v>433</v>
      </c>
      <c r="C304" s="60">
        <v>5</v>
      </c>
      <c r="D304" s="43"/>
      <c r="E304" s="45" t="s">
        <v>447</v>
      </c>
    </row>
    <row r="305" spans="1:8" x14ac:dyDescent="0.2">
      <c r="A305" s="62"/>
      <c r="B305" s="21" t="s">
        <v>435</v>
      </c>
      <c r="C305" s="21">
        <v>5</v>
      </c>
    </row>
    <row r="306" spans="1:8" x14ac:dyDescent="0.2">
      <c r="A306" s="62"/>
      <c r="B306" s="21" t="s">
        <v>436</v>
      </c>
      <c r="C306" s="21">
        <v>25</v>
      </c>
    </row>
    <row r="307" spans="1:8" x14ac:dyDescent="0.2">
      <c r="A307" s="62"/>
    </row>
    <row r="308" spans="1:8" x14ac:dyDescent="0.2">
      <c r="A308" s="62" t="s">
        <v>382</v>
      </c>
    </row>
    <row r="309" spans="1:8" x14ac:dyDescent="0.2">
      <c r="A309" s="62" t="s">
        <v>450</v>
      </c>
    </row>
    <row r="310" spans="1:8" x14ac:dyDescent="0.2">
      <c r="A310" s="62" t="s">
        <v>384</v>
      </c>
    </row>
    <row r="311" spans="1:8" ht="17" thickBot="1" x14ac:dyDescent="0.25">
      <c r="A311" s="62"/>
    </row>
    <row r="312" spans="1:8" x14ac:dyDescent="0.2">
      <c r="A312" s="63" t="s">
        <v>78</v>
      </c>
      <c r="B312" s="39"/>
      <c r="C312" s="39"/>
      <c r="D312" s="39"/>
      <c r="E312" s="39"/>
      <c r="F312" s="39"/>
      <c r="G312" s="39"/>
      <c r="H312" s="40"/>
    </row>
    <row r="313" spans="1:8" x14ac:dyDescent="0.2">
      <c r="A313" s="64"/>
      <c r="B313" s="21" t="s">
        <v>451</v>
      </c>
      <c r="C313" s="1" t="s">
        <v>452</v>
      </c>
      <c r="D313" s="21" t="s">
        <v>453</v>
      </c>
      <c r="E313" s="25"/>
      <c r="F313" s="99" t="s">
        <v>455</v>
      </c>
      <c r="H313" s="42"/>
    </row>
    <row r="314" spans="1:8" x14ac:dyDescent="0.2">
      <c r="A314" s="80" t="s">
        <v>71</v>
      </c>
      <c r="B314" s="81" t="s">
        <v>437</v>
      </c>
      <c r="C314" s="81" t="s">
        <v>438</v>
      </c>
      <c r="D314" s="81" t="s">
        <v>439</v>
      </c>
      <c r="E314" s="81" t="s">
        <v>440</v>
      </c>
      <c r="F314" s="81" t="s">
        <v>454</v>
      </c>
      <c r="H314" s="42"/>
    </row>
    <row r="315" spans="1:8" x14ac:dyDescent="0.2">
      <c r="A315" s="79">
        <v>50</v>
      </c>
      <c r="B315" s="32">
        <v>0</v>
      </c>
      <c r="C315" s="32">
        <f t="shared" ref="C315:C320" si="19">0*2</f>
        <v>0</v>
      </c>
      <c r="D315" s="32">
        <v>0</v>
      </c>
      <c r="E315" s="32">
        <f>-20-5+10*2</f>
        <v>-5</v>
      </c>
      <c r="F315" s="32">
        <f t="shared" ref="F315:F325" si="20">B315+C315+D315+E315</f>
        <v>-5</v>
      </c>
      <c r="H315" s="42"/>
    </row>
    <row r="316" spans="1:8" x14ac:dyDescent="0.2">
      <c r="A316" s="79">
        <f t="shared" ref="A316:A325" si="21">A315+10</f>
        <v>60</v>
      </c>
      <c r="B316" s="32">
        <v>0</v>
      </c>
      <c r="C316" s="32">
        <f t="shared" si="19"/>
        <v>0</v>
      </c>
      <c r="D316" s="32">
        <v>0</v>
      </c>
      <c r="E316" s="32">
        <f t="shared" ref="E316:E325" si="22">E315</f>
        <v>-5</v>
      </c>
      <c r="F316" s="32">
        <f t="shared" si="20"/>
        <v>-5</v>
      </c>
      <c r="H316" s="42"/>
    </row>
    <row r="317" spans="1:8" ht="17" thickBot="1" x14ac:dyDescent="0.25">
      <c r="A317" s="79">
        <f t="shared" si="21"/>
        <v>70</v>
      </c>
      <c r="B317" s="32">
        <v>0</v>
      </c>
      <c r="C317" s="32">
        <f t="shared" si="19"/>
        <v>0</v>
      </c>
      <c r="D317" s="32">
        <v>0</v>
      </c>
      <c r="E317" s="32">
        <f t="shared" si="22"/>
        <v>-5</v>
      </c>
      <c r="F317" s="32">
        <f t="shared" si="20"/>
        <v>-5</v>
      </c>
      <c r="H317" s="42"/>
    </row>
    <row r="318" spans="1:8" x14ac:dyDescent="0.2">
      <c r="A318" s="94">
        <f t="shared" si="21"/>
        <v>80</v>
      </c>
      <c r="B318" s="32">
        <v>0</v>
      </c>
      <c r="C318" s="32">
        <f t="shared" si="19"/>
        <v>0</v>
      </c>
      <c r="D318" s="32">
        <v>0</v>
      </c>
      <c r="E318" s="32">
        <f t="shared" si="22"/>
        <v>-5</v>
      </c>
      <c r="F318" s="93">
        <f t="shared" si="20"/>
        <v>-5</v>
      </c>
      <c r="H318" s="42"/>
    </row>
    <row r="319" spans="1:8" ht="17" thickBot="1" x14ac:dyDescent="0.25">
      <c r="A319" s="92">
        <f t="shared" si="21"/>
        <v>90</v>
      </c>
      <c r="B319" s="32">
        <f>90-80</f>
        <v>10</v>
      </c>
      <c r="C319" s="32">
        <f t="shared" si="19"/>
        <v>0</v>
      </c>
      <c r="D319" s="32">
        <v>0</v>
      </c>
      <c r="E319" s="32">
        <f t="shared" si="22"/>
        <v>-5</v>
      </c>
      <c r="F319" s="90">
        <f t="shared" si="20"/>
        <v>5</v>
      </c>
      <c r="H319" s="42"/>
    </row>
    <row r="320" spans="1:8" ht="17" thickBot="1" x14ac:dyDescent="0.25">
      <c r="A320" s="79">
        <f t="shared" si="21"/>
        <v>100</v>
      </c>
      <c r="B320" s="32">
        <f>100-80</f>
        <v>20</v>
      </c>
      <c r="C320" s="32">
        <f t="shared" si="19"/>
        <v>0</v>
      </c>
      <c r="D320" s="32">
        <v>0</v>
      </c>
      <c r="E320" s="32">
        <f t="shared" si="22"/>
        <v>-5</v>
      </c>
      <c r="F320" s="32">
        <f t="shared" si="20"/>
        <v>15</v>
      </c>
      <c r="H320" s="42"/>
    </row>
    <row r="321" spans="1:8" x14ac:dyDescent="0.2">
      <c r="A321" s="94">
        <f t="shared" si="21"/>
        <v>110</v>
      </c>
      <c r="B321" s="32">
        <v>30</v>
      </c>
      <c r="C321" s="32">
        <f>-(110-100)*2</f>
        <v>-20</v>
      </c>
      <c r="D321" s="32">
        <v>0</v>
      </c>
      <c r="E321" s="32">
        <f t="shared" si="22"/>
        <v>-5</v>
      </c>
      <c r="F321" s="93">
        <f t="shared" si="20"/>
        <v>5</v>
      </c>
      <c r="H321" s="42"/>
    </row>
    <row r="322" spans="1:8" ht="17" thickBot="1" x14ac:dyDescent="0.25">
      <c r="A322" s="92">
        <f t="shared" si="21"/>
        <v>120</v>
      </c>
      <c r="B322" s="32">
        <v>40</v>
      </c>
      <c r="C322" s="32">
        <f>-(120-100)*2</f>
        <v>-40</v>
      </c>
      <c r="D322" s="32">
        <v>0</v>
      </c>
      <c r="E322" s="32">
        <f t="shared" si="22"/>
        <v>-5</v>
      </c>
      <c r="F322" s="90">
        <f t="shared" si="20"/>
        <v>-5</v>
      </c>
      <c r="H322" s="42"/>
    </row>
    <row r="323" spans="1:8" x14ac:dyDescent="0.2">
      <c r="A323" s="79">
        <f t="shared" si="21"/>
        <v>130</v>
      </c>
      <c r="B323" s="32">
        <v>50</v>
      </c>
      <c r="C323" s="32">
        <f>-(130-100)*2</f>
        <v>-60</v>
      </c>
      <c r="D323" s="32">
        <f>130-120</f>
        <v>10</v>
      </c>
      <c r="E323" s="32">
        <f t="shared" si="22"/>
        <v>-5</v>
      </c>
      <c r="F323" s="32">
        <f t="shared" si="20"/>
        <v>-5</v>
      </c>
      <c r="H323" s="42"/>
    </row>
    <row r="324" spans="1:8" x14ac:dyDescent="0.2">
      <c r="A324" s="79">
        <f t="shared" si="21"/>
        <v>140</v>
      </c>
      <c r="B324" s="32">
        <v>60</v>
      </c>
      <c r="C324" s="32">
        <f>-(140-100)*2</f>
        <v>-80</v>
      </c>
      <c r="D324" s="32">
        <f>140-120</f>
        <v>20</v>
      </c>
      <c r="E324" s="32">
        <f t="shared" si="22"/>
        <v>-5</v>
      </c>
      <c r="F324" s="32">
        <f t="shared" si="20"/>
        <v>-5</v>
      </c>
      <c r="H324" s="42"/>
    </row>
    <row r="325" spans="1:8" x14ac:dyDescent="0.2">
      <c r="A325" s="79">
        <f t="shared" si="21"/>
        <v>150</v>
      </c>
      <c r="B325" s="32">
        <v>70</v>
      </c>
      <c r="C325" s="32">
        <f>-(150-100)*2</f>
        <v>-100</v>
      </c>
      <c r="D325" s="32">
        <v>30</v>
      </c>
      <c r="E325" s="32">
        <f t="shared" si="22"/>
        <v>-5</v>
      </c>
      <c r="F325" s="32">
        <f t="shared" si="20"/>
        <v>-5</v>
      </c>
      <c r="H325" s="42"/>
    </row>
    <row r="326" spans="1:8" x14ac:dyDescent="0.2">
      <c r="A326" s="78"/>
      <c r="B326" s="25"/>
      <c r="C326" s="25"/>
      <c r="D326" s="25"/>
      <c r="H326" s="42"/>
    </row>
    <row r="327" spans="1:8" x14ac:dyDescent="0.2">
      <c r="A327" s="78"/>
      <c r="F327" s="1" t="s">
        <v>456</v>
      </c>
      <c r="H327" s="42"/>
    </row>
    <row r="328" spans="1:8" x14ac:dyDescent="0.2">
      <c r="A328" s="64"/>
      <c r="F328" s="1" t="s">
        <v>457</v>
      </c>
      <c r="H328" s="42"/>
    </row>
    <row r="329" spans="1:8" x14ac:dyDescent="0.2">
      <c r="A329" s="64"/>
      <c r="F329" s="1" t="s">
        <v>458</v>
      </c>
      <c r="H329" s="42"/>
    </row>
    <row r="330" spans="1:8" x14ac:dyDescent="0.2">
      <c r="A330" s="64"/>
      <c r="F330" s="1" t="s">
        <v>459</v>
      </c>
      <c r="H330" s="42"/>
    </row>
    <row r="331" spans="1:8" x14ac:dyDescent="0.2">
      <c r="A331" s="64"/>
      <c r="F331" s="1" t="s">
        <v>460</v>
      </c>
      <c r="H331" s="42"/>
    </row>
    <row r="332" spans="1:8" x14ac:dyDescent="0.2">
      <c r="A332" s="64"/>
      <c r="F332" s="1" t="s">
        <v>461</v>
      </c>
      <c r="H332" s="42"/>
    </row>
    <row r="333" spans="1:8" x14ac:dyDescent="0.2">
      <c r="A333" s="64"/>
      <c r="F333" s="1" t="s">
        <v>462</v>
      </c>
      <c r="H333" s="42"/>
    </row>
    <row r="334" spans="1:8" x14ac:dyDescent="0.2">
      <c r="A334" s="64"/>
      <c r="F334" s="1" t="s">
        <v>463</v>
      </c>
      <c r="H334" s="42"/>
    </row>
    <row r="335" spans="1:8" x14ac:dyDescent="0.2">
      <c r="A335" s="64"/>
      <c r="F335" s="1" t="s">
        <v>464</v>
      </c>
      <c r="H335" s="42"/>
    </row>
    <row r="336" spans="1:8" x14ac:dyDescent="0.2">
      <c r="A336" s="64"/>
      <c r="F336" s="1" t="s">
        <v>465</v>
      </c>
      <c r="H336" s="42"/>
    </row>
    <row r="337" spans="1:8" x14ac:dyDescent="0.2">
      <c r="A337" s="64"/>
      <c r="F337" s="1" t="s">
        <v>466</v>
      </c>
      <c r="H337" s="42"/>
    </row>
    <row r="338" spans="1:8" ht="17" thickBot="1" x14ac:dyDescent="0.25">
      <c r="A338" s="65"/>
      <c r="B338" s="44"/>
      <c r="C338" s="44"/>
      <c r="D338" s="44"/>
      <c r="E338" s="44"/>
      <c r="F338" s="44" t="s">
        <v>467</v>
      </c>
      <c r="G338" s="44"/>
      <c r="H338" s="45"/>
    </row>
    <row r="339" spans="1:8" ht="17" thickBot="1" x14ac:dyDescent="0.25">
      <c r="A339" s="62"/>
    </row>
    <row r="340" spans="1:8" ht="17" thickBot="1" x14ac:dyDescent="0.25">
      <c r="A340" s="50" t="s">
        <v>471</v>
      </c>
      <c r="B340" s="51"/>
      <c r="C340" s="51"/>
      <c r="D340" s="51"/>
      <c r="E340" s="51"/>
      <c r="F340" s="51"/>
      <c r="G340" s="51"/>
      <c r="H340" s="52"/>
    </row>
    <row r="341" spans="1:8" x14ac:dyDescent="0.2">
      <c r="A341" s="62"/>
    </row>
    <row r="342" spans="1:8" x14ac:dyDescent="0.2">
      <c r="A342" s="62" t="s">
        <v>441</v>
      </c>
    </row>
    <row r="343" spans="1:8" x14ac:dyDescent="0.2">
      <c r="A343" s="62" t="s">
        <v>393</v>
      </c>
    </row>
    <row r="344" spans="1:8" ht="17" thickBot="1" x14ac:dyDescent="0.25">
      <c r="A344" s="62"/>
    </row>
    <row r="345" spans="1:8" x14ac:dyDescent="0.2">
      <c r="A345" s="62"/>
      <c r="B345" s="75" t="s">
        <v>368</v>
      </c>
      <c r="C345" s="75" t="s">
        <v>394</v>
      </c>
      <c r="F345" s="97"/>
      <c r="G345" s="40" t="s">
        <v>445</v>
      </c>
    </row>
    <row r="346" spans="1:8" x14ac:dyDescent="0.2">
      <c r="A346" s="62"/>
      <c r="B346" s="21" t="s">
        <v>395</v>
      </c>
      <c r="C346" s="21">
        <v>10</v>
      </c>
      <c r="F346" s="41"/>
      <c r="G346" s="42" t="s">
        <v>446</v>
      </c>
    </row>
    <row r="347" spans="1:8" ht="17" thickBot="1" x14ac:dyDescent="0.25">
      <c r="A347" s="62"/>
      <c r="B347" s="21" t="s">
        <v>398</v>
      </c>
      <c r="C347" s="21">
        <v>15</v>
      </c>
      <c r="F347" s="43"/>
      <c r="G347" s="45" t="s">
        <v>447</v>
      </c>
    </row>
    <row r="348" spans="1:8" x14ac:dyDescent="0.2">
      <c r="A348" s="62"/>
      <c r="B348" s="21" t="s">
        <v>397</v>
      </c>
      <c r="C348" s="21">
        <v>7</v>
      </c>
    </row>
    <row r="349" spans="1:8" x14ac:dyDescent="0.2">
      <c r="A349" s="62"/>
      <c r="B349" s="21" t="s">
        <v>400</v>
      </c>
      <c r="C349" s="21">
        <v>15</v>
      </c>
    </row>
    <row r="350" spans="1:8" x14ac:dyDescent="0.2">
      <c r="A350" s="62"/>
      <c r="B350" s="21" t="s">
        <v>396</v>
      </c>
      <c r="C350" s="21">
        <v>20</v>
      </c>
    </row>
    <row r="351" spans="1:8" x14ac:dyDescent="0.2">
      <c r="A351" s="62"/>
    </row>
    <row r="352" spans="1:8" x14ac:dyDescent="0.2">
      <c r="A352" s="62" t="s">
        <v>382</v>
      </c>
    </row>
    <row r="353" spans="1:8" x14ac:dyDescent="0.2">
      <c r="A353" s="62" t="s">
        <v>383</v>
      </c>
    </row>
    <row r="354" spans="1:8" x14ac:dyDescent="0.2">
      <c r="A354" s="62" t="s">
        <v>384</v>
      </c>
    </row>
    <row r="355" spans="1:8" ht="17" thickBot="1" x14ac:dyDescent="0.25">
      <c r="A355" s="62"/>
    </row>
    <row r="356" spans="1:8" x14ac:dyDescent="0.2">
      <c r="A356" s="63" t="s">
        <v>78</v>
      </c>
      <c r="B356" s="39"/>
      <c r="C356" s="39"/>
      <c r="D356" s="39"/>
      <c r="E356" s="39"/>
      <c r="F356" s="39"/>
      <c r="G356" s="39"/>
      <c r="H356" s="40"/>
    </row>
    <row r="357" spans="1:8" x14ac:dyDescent="0.2">
      <c r="A357" s="64"/>
      <c r="H357" s="42"/>
    </row>
    <row r="358" spans="1:8" x14ac:dyDescent="0.2">
      <c r="A358" s="64"/>
      <c r="B358" s="21"/>
      <c r="D358" s="21"/>
      <c r="E358" s="25"/>
      <c r="F358" s="99"/>
      <c r="H358" s="42"/>
    </row>
    <row r="359" spans="1:8" x14ac:dyDescent="0.2">
      <c r="A359" s="80" t="s">
        <v>71</v>
      </c>
      <c r="B359" s="81" t="s">
        <v>472</v>
      </c>
      <c r="C359" s="81" t="s">
        <v>473</v>
      </c>
      <c r="D359" s="81" t="s">
        <v>474</v>
      </c>
      <c r="E359" s="81" t="s">
        <v>440</v>
      </c>
      <c r="F359" s="81" t="s">
        <v>262</v>
      </c>
      <c r="H359" s="42"/>
    </row>
    <row r="360" spans="1:8" x14ac:dyDescent="0.2">
      <c r="A360" s="79">
        <v>0</v>
      </c>
      <c r="B360" s="32">
        <v>0</v>
      </c>
      <c r="C360" s="32">
        <f t="shared" ref="C360:C365" si="23">-2*(0)</f>
        <v>0</v>
      </c>
      <c r="D360" s="32">
        <f>0</f>
        <v>0</v>
      </c>
      <c r="E360" s="32">
        <f t="shared" ref="E360:E370" si="24">-15+2*10-7</f>
        <v>-2</v>
      </c>
      <c r="F360" s="32">
        <f t="shared" ref="F360:F370" si="25">SUM(B360:E360)</f>
        <v>-2</v>
      </c>
      <c r="H360" s="42"/>
    </row>
    <row r="361" spans="1:8" x14ac:dyDescent="0.2">
      <c r="A361" s="79">
        <f t="shared" ref="A361:A370" si="26">A360+10</f>
        <v>10</v>
      </c>
      <c r="B361" s="32">
        <v>0</v>
      </c>
      <c r="C361" s="32">
        <f t="shared" si="23"/>
        <v>0</v>
      </c>
      <c r="D361" s="32">
        <v>0</v>
      </c>
      <c r="E361" s="32">
        <f t="shared" si="24"/>
        <v>-2</v>
      </c>
      <c r="F361" s="32">
        <f t="shared" si="25"/>
        <v>-2</v>
      </c>
      <c r="H361" s="42"/>
    </row>
    <row r="362" spans="1:8" x14ac:dyDescent="0.2">
      <c r="A362" s="79">
        <f t="shared" si="26"/>
        <v>20</v>
      </c>
      <c r="B362" s="32">
        <v>0</v>
      </c>
      <c r="C362" s="32">
        <f t="shared" si="23"/>
        <v>0</v>
      </c>
      <c r="D362" s="32">
        <v>0</v>
      </c>
      <c r="E362" s="32">
        <f t="shared" si="24"/>
        <v>-2</v>
      </c>
      <c r="F362" s="32">
        <f t="shared" si="25"/>
        <v>-2</v>
      </c>
      <c r="H362" s="42"/>
    </row>
    <row r="363" spans="1:8" ht="17" thickBot="1" x14ac:dyDescent="0.25">
      <c r="A363" s="79">
        <f t="shared" si="26"/>
        <v>30</v>
      </c>
      <c r="B363" s="32">
        <v>0</v>
      </c>
      <c r="C363" s="32">
        <f t="shared" si="23"/>
        <v>0</v>
      </c>
      <c r="D363" s="32">
        <v>0</v>
      </c>
      <c r="E363" s="32">
        <f t="shared" si="24"/>
        <v>-2</v>
      </c>
      <c r="F363" s="32">
        <f t="shared" si="25"/>
        <v>-2</v>
      </c>
      <c r="H363" s="42"/>
    </row>
    <row r="364" spans="1:8" ht="17" thickBot="1" x14ac:dyDescent="0.25">
      <c r="A364" s="79">
        <f t="shared" si="26"/>
        <v>40</v>
      </c>
      <c r="B364" s="32">
        <v>0</v>
      </c>
      <c r="C364" s="32">
        <f t="shared" si="23"/>
        <v>0</v>
      </c>
      <c r="D364" s="32">
        <v>0</v>
      </c>
      <c r="E364" s="32">
        <f t="shared" si="24"/>
        <v>-2</v>
      </c>
      <c r="F364" s="93">
        <f t="shared" si="25"/>
        <v>-2</v>
      </c>
      <c r="H364" s="42"/>
    </row>
    <row r="365" spans="1:8" ht="17" thickBot="1" x14ac:dyDescent="0.25">
      <c r="A365" s="79">
        <f t="shared" si="26"/>
        <v>50</v>
      </c>
      <c r="B365" s="32">
        <f>50-40</f>
        <v>10</v>
      </c>
      <c r="C365" s="32">
        <f t="shared" si="23"/>
        <v>0</v>
      </c>
      <c r="D365" s="32">
        <v>0</v>
      </c>
      <c r="E365" s="32">
        <f t="shared" si="24"/>
        <v>-2</v>
      </c>
      <c r="F365" s="20">
        <f t="shared" si="25"/>
        <v>8</v>
      </c>
      <c r="H365" s="42"/>
    </row>
    <row r="366" spans="1:8" ht="17" thickBot="1" x14ac:dyDescent="0.25">
      <c r="A366" s="79">
        <f t="shared" si="26"/>
        <v>60</v>
      </c>
      <c r="B366" s="32">
        <f>60-40</f>
        <v>20</v>
      </c>
      <c r="C366" s="32">
        <f>-2*(60-50)</f>
        <v>-20</v>
      </c>
      <c r="D366" s="32">
        <v>0</v>
      </c>
      <c r="E366" s="32">
        <f t="shared" si="24"/>
        <v>-2</v>
      </c>
      <c r="F366" s="90">
        <f t="shared" si="25"/>
        <v>-2</v>
      </c>
      <c r="H366" s="42"/>
    </row>
    <row r="367" spans="1:8" x14ac:dyDescent="0.2">
      <c r="A367" s="79">
        <f t="shared" si="26"/>
        <v>70</v>
      </c>
      <c r="B367" s="32">
        <f>70-40</f>
        <v>30</v>
      </c>
      <c r="C367" s="32">
        <f>-2*(70-50)</f>
        <v>-40</v>
      </c>
      <c r="D367" s="32">
        <f>70-60</f>
        <v>10</v>
      </c>
      <c r="E367" s="32">
        <f t="shared" si="24"/>
        <v>-2</v>
      </c>
      <c r="F367" s="32">
        <f t="shared" si="25"/>
        <v>-2</v>
      </c>
      <c r="H367" s="42"/>
    </row>
    <row r="368" spans="1:8" x14ac:dyDescent="0.2">
      <c r="A368" s="79">
        <f t="shared" si="26"/>
        <v>80</v>
      </c>
      <c r="B368" s="32">
        <f>80-40</f>
        <v>40</v>
      </c>
      <c r="C368" s="32">
        <f>-2*(80-50)</f>
        <v>-60</v>
      </c>
      <c r="D368" s="32">
        <f>80-60</f>
        <v>20</v>
      </c>
      <c r="E368" s="32">
        <f t="shared" si="24"/>
        <v>-2</v>
      </c>
      <c r="F368" s="32">
        <f t="shared" si="25"/>
        <v>-2</v>
      </c>
      <c r="H368" s="42"/>
    </row>
    <row r="369" spans="1:8" x14ac:dyDescent="0.2">
      <c r="A369" s="79">
        <f t="shared" si="26"/>
        <v>90</v>
      </c>
      <c r="B369" s="32">
        <f>90-40</f>
        <v>50</v>
      </c>
      <c r="C369" s="32">
        <f>-2*(90-50)</f>
        <v>-80</v>
      </c>
      <c r="D369" s="32">
        <f>90-60</f>
        <v>30</v>
      </c>
      <c r="E369" s="32">
        <f t="shared" si="24"/>
        <v>-2</v>
      </c>
      <c r="F369" s="32">
        <f t="shared" si="25"/>
        <v>-2</v>
      </c>
      <c r="H369" s="42"/>
    </row>
    <row r="370" spans="1:8" x14ac:dyDescent="0.2">
      <c r="A370" s="79">
        <f t="shared" si="26"/>
        <v>100</v>
      </c>
      <c r="B370" s="32">
        <f>100-40</f>
        <v>60</v>
      </c>
      <c r="C370" s="32">
        <f>-2*(100-50)</f>
        <v>-100</v>
      </c>
      <c r="D370" s="32">
        <f>100-60</f>
        <v>40</v>
      </c>
      <c r="E370" s="32">
        <f t="shared" si="24"/>
        <v>-2</v>
      </c>
      <c r="F370" s="32">
        <f t="shared" si="25"/>
        <v>-2</v>
      </c>
      <c r="H370" s="42"/>
    </row>
    <row r="371" spans="1:8" x14ac:dyDescent="0.2">
      <c r="A371" s="64"/>
      <c r="H371" s="42"/>
    </row>
    <row r="372" spans="1:8" x14ac:dyDescent="0.2">
      <c r="A372" s="64"/>
      <c r="H372" s="42"/>
    </row>
    <row r="373" spans="1:8" x14ac:dyDescent="0.2">
      <c r="A373" s="64"/>
      <c r="H373" s="42"/>
    </row>
    <row r="374" spans="1:8" x14ac:dyDescent="0.2">
      <c r="A374" s="64"/>
      <c r="H374" s="42"/>
    </row>
    <row r="375" spans="1:8" x14ac:dyDescent="0.2">
      <c r="A375" s="64"/>
      <c r="H375" s="42"/>
    </row>
    <row r="376" spans="1:8" x14ac:dyDescent="0.2">
      <c r="A376" s="64"/>
      <c r="H376" s="42"/>
    </row>
    <row r="377" spans="1:8" x14ac:dyDescent="0.2">
      <c r="A377" s="64"/>
      <c r="H377" s="42"/>
    </row>
    <row r="378" spans="1:8" x14ac:dyDescent="0.2">
      <c r="A378" s="64"/>
      <c r="H378" s="42"/>
    </row>
    <row r="379" spans="1:8" x14ac:dyDescent="0.2">
      <c r="A379" s="64"/>
      <c r="H379" s="42"/>
    </row>
    <row r="380" spans="1:8" x14ac:dyDescent="0.2">
      <c r="A380" s="64"/>
      <c r="H380" s="42"/>
    </row>
    <row r="381" spans="1:8" x14ac:dyDescent="0.2">
      <c r="A381" s="64"/>
      <c r="H381" s="42"/>
    </row>
    <row r="382" spans="1:8" x14ac:dyDescent="0.2">
      <c r="A382" s="64"/>
      <c r="H382" s="42"/>
    </row>
    <row r="383" spans="1:8" x14ac:dyDescent="0.2">
      <c r="A383" s="64"/>
      <c r="H383" s="42"/>
    </row>
    <row r="384" spans="1:8" x14ac:dyDescent="0.2">
      <c r="A384" s="64"/>
      <c r="H384" s="42"/>
    </row>
    <row r="385" spans="1:8" x14ac:dyDescent="0.2">
      <c r="A385" s="64" t="s">
        <v>475</v>
      </c>
      <c r="H385" s="42"/>
    </row>
    <row r="386" spans="1:8" x14ac:dyDescent="0.2">
      <c r="A386" s="64" t="s">
        <v>476</v>
      </c>
      <c r="H386" s="42"/>
    </row>
    <row r="387" spans="1:8" x14ac:dyDescent="0.2">
      <c r="A387" s="64"/>
      <c r="H387" s="42"/>
    </row>
    <row r="388" spans="1:8" x14ac:dyDescent="0.2">
      <c r="A388" s="64"/>
      <c r="H388" s="42"/>
    </row>
    <row r="389" spans="1:8" ht="17" thickBot="1" x14ac:dyDescent="0.25">
      <c r="A389" s="65"/>
      <c r="B389" s="44"/>
      <c r="C389" s="44"/>
      <c r="D389" s="44"/>
      <c r="E389" s="44"/>
      <c r="F389" s="44"/>
      <c r="G389" s="44"/>
      <c r="H389" s="45"/>
    </row>
    <row r="390" spans="1:8" x14ac:dyDescent="0.2">
      <c r="A390" s="62"/>
    </row>
    <row r="391" spans="1:8" x14ac:dyDescent="0.2">
      <c r="A391" s="62"/>
    </row>
    <row r="392" spans="1:8" x14ac:dyDescent="0.2">
      <c r="A392" s="62"/>
    </row>
    <row r="393" spans="1:8" x14ac:dyDescent="0.2">
      <c r="A393" s="4" t="s">
        <v>1170</v>
      </c>
    </row>
    <row r="395" spans="1:8" x14ac:dyDescent="0.2">
      <c r="A395" s="1" t="s">
        <v>520</v>
      </c>
    </row>
    <row r="396" spans="1:8" x14ac:dyDescent="0.2">
      <c r="A396" s="1" t="s">
        <v>517</v>
      </c>
    </row>
    <row r="397" spans="1:8" x14ac:dyDescent="0.2">
      <c r="A397" s="1" t="s">
        <v>521</v>
      </c>
    </row>
    <row r="398" spans="1:8" x14ac:dyDescent="0.2">
      <c r="A398" s="1" t="s">
        <v>522</v>
      </c>
    </row>
    <row r="400" spans="1:8" x14ac:dyDescent="0.2">
      <c r="B400" s="343" t="s">
        <v>523</v>
      </c>
      <c r="C400" s="343"/>
      <c r="D400" s="343"/>
      <c r="E400" s="343"/>
    </row>
    <row r="401" spans="1:7" x14ac:dyDescent="0.2">
      <c r="E401" s="21" t="s">
        <v>262</v>
      </c>
    </row>
    <row r="402" spans="1:7" x14ac:dyDescent="0.2">
      <c r="B402" s="1" t="s">
        <v>518</v>
      </c>
      <c r="E402" s="21" t="s">
        <v>239</v>
      </c>
    </row>
    <row r="404" spans="1:7" x14ac:dyDescent="0.2">
      <c r="A404" s="1" t="s">
        <v>519</v>
      </c>
    </row>
    <row r="407" spans="1:7" x14ac:dyDescent="0.2">
      <c r="G407" s="1" t="s">
        <v>71</v>
      </c>
    </row>
    <row r="410" spans="1:7" x14ac:dyDescent="0.2">
      <c r="A410" s="1" t="s">
        <v>71</v>
      </c>
    </row>
    <row r="411" spans="1:7" x14ac:dyDescent="0.2">
      <c r="D411" s="1">
        <v>30</v>
      </c>
    </row>
    <row r="415" spans="1:7" x14ac:dyDescent="0.2">
      <c r="B415" s="331" t="s">
        <v>524</v>
      </c>
      <c r="C415" s="331"/>
      <c r="D415" s="331"/>
      <c r="E415" s="331"/>
    </row>
    <row r="416" spans="1:7" x14ac:dyDescent="0.2">
      <c r="E416" s="21" t="s">
        <v>262</v>
      </c>
    </row>
    <row r="417" spans="1:5" x14ac:dyDescent="0.2">
      <c r="E417" s="21" t="s">
        <v>239</v>
      </c>
    </row>
    <row r="421" spans="1:5" x14ac:dyDescent="0.2">
      <c r="D421" s="1">
        <v>50</v>
      </c>
    </row>
    <row r="424" spans="1:5" x14ac:dyDescent="0.2">
      <c r="B424" s="1" t="s">
        <v>526</v>
      </c>
    </row>
    <row r="426" spans="1:5" x14ac:dyDescent="0.2">
      <c r="B426" s="1" t="s">
        <v>525</v>
      </c>
    </row>
    <row r="432" spans="1:5" x14ac:dyDescent="0.2">
      <c r="A432" s="1" t="s">
        <v>527</v>
      </c>
    </row>
    <row r="434" spans="4:8" x14ac:dyDescent="0.2">
      <c r="H434" s="21" t="s">
        <v>262</v>
      </c>
    </row>
    <row r="435" spans="4:8" x14ac:dyDescent="0.2">
      <c r="H435" s="21" t="s">
        <v>239</v>
      </c>
    </row>
    <row r="437" spans="4:8" x14ac:dyDescent="0.2">
      <c r="D437" s="1" t="s">
        <v>528</v>
      </c>
    </row>
    <row r="439" spans="4:8" x14ac:dyDescent="0.2">
      <c r="D439" s="21" t="s">
        <v>262</v>
      </c>
    </row>
    <row r="442" spans="4:8" x14ac:dyDescent="0.2">
      <c r="E442" s="104">
        <v>50</v>
      </c>
      <c r="G442" s="1">
        <v>30</v>
      </c>
    </row>
    <row r="443" spans="4:8" x14ac:dyDescent="0.2">
      <c r="D443" s="1" t="s">
        <v>71</v>
      </c>
    </row>
    <row r="450" spans="1:4" x14ac:dyDescent="0.2">
      <c r="A450" s="105" t="s">
        <v>529</v>
      </c>
    </row>
    <row r="451" spans="1:4" x14ac:dyDescent="0.2">
      <c r="A451" s="1" t="s">
        <v>533</v>
      </c>
    </row>
    <row r="452" spans="1:4" x14ac:dyDescent="0.2">
      <c r="A452" s="1" t="s">
        <v>530</v>
      </c>
    </row>
    <row r="453" spans="1:4" x14ac:dyDescent="0.2">
      <c r="A453" s="1" t="s">
        <v>534</v>
      </c>
    </row>
    <row r="454" spans="1:4" x14ac:dyDescent="0.2">
      <c r="A454" s="1" t="s">
        <v>535</v>
      </c>
    </row>
    <row r="455" spans="1:4" x14ac:dyDescent="0.2">
      <c r="A455" s="1" t="s">
        <v>531</v>
      </c>
    </row>
    <row r="456" spans="1:4" x14ac:dyDescent="0.2">
      <c r="A456" s="1" t="s">
        <v>532</v>
      </c>
    </row>
    <row r="458" spans="1:4" x14ac:dyDescent="0.2">
      <c r="A458" s="105" t="s">
        <v>536</v>
      </c>
    </row>
    <row r="459" spans="1:4" x14ac:dyDescent="0.2">
      <c r="A459" s="1" t="s">
        <v>537</v>
      </c>
    </row>
    <row r="460" spans="1:4" x14ac:dyDescent="0.2">
      <c r="A460" s="1" t="s">
        <v>538</v>
      </c>
    </row>
    <row r="461" spans="1:4" x14ac:dyDescent="0.2">
      <c r="A461" s="1" t="s">
        <v>539</v>
      </c>
      <c r="C461" s="21" t="s">
        <v>540</v>
      </c>
      <c r="D461" s="21" t="s">
        <v>541</v>
      </c>
    </row>
    <row r="462" spans="1:4" x14ac:dyDescent="0.2">
      <c r="C462" s="21" t="s">
        <v>542</v>
      </c>
      <c r="D462" s="21" t="s">
        <v>543</v>
      </c>
    </row>
    <row r="464" spans="1:4" x14ac:dyDescent="0.2">
      <c r="A464" s="1" t="s">
        <v>544</v>
      </c>
    </row>
    <row r="465" spans="1:8" x14ac:dyDescent="0.2">
      <c r="A465" s="1" t="s">
        <v>545</v>
      </c>
      <c r="D465" s="21" t="s">
        <v>546</v>
      </c>
    </row>
    <row r="466" spans="1:8" x14ac:dyDescent="0.2">
      <c r="A466" s="1" t="s">
        <v>547</v>
      </c>
      <c r="D466" s="21"/>
    </row>
    <row r="467" spans="1:8" x14ac:dyDescent="0.2">
      <c r="A467" s="1" t="s">
        <v>548</v>
      </c>
    </row>
    <row r="469" spans="1:8" x14ac:dyDescent="0.2">
      <c r="A469" s="105" t="s">
        <v>549</v>
      </c>
    </row>
    <row r="470" spans="1:8" x14ac:dyDescent="0.2">
      <c r="A470" s="1" t="s">
        <v>550</v>
      </c>
    </row>
    <row r="471" spans="1:8" x14ac:dyDescent="0.2">
      <c r="A471" s="1" t="s">
        <v>551</v>
      </c>
    </row>
    <row r="472" spans="1:8" ht="17" thickBot="1" x14ac:dyDescent="0.25"/>
    <row r="473" spans="1:8" x14ac:dyDescent="0.2">
      <c r="A473" s="70" t="s">
        <v>479</v>
      </c>
      <c r="B473" s="71"/>
      <c r="C473" s="71"/>
      <c r="D473" s="71"/>
      <c r="E473" s="71"/>
      <c r="F473" s="71"/>
      <c r="G473" s="71"/>
      <c r="H473" s="72"/>
    </row>
    <row r="474" spans="1:8" x14ac:dyDescent="0.2">
      <c r="A474" s="64"/>
      <c r="H474" s="42"/>
    </row>
    <row r="475" spans="1:8" x14ac:dyDescent="0.2">
      <c r="A475" s="64" t="s">
        <v>360</v>
      </c>
      <c r="B475" s="1" t="s">
        <v>482</v>
      </c>
      <c r="H475" s="42"/>
    </row>
    <row r="476" spans="1:8" x14ac:dyDescent="0.2">
      <c r="A476" s="64"/>
      <c r="B476" s="1" t="s">
        <v>483</v>
      </c>
      <c r="H476" s="42"/>
    </row>
    <row r="477" spans="1:8" x14ac:dyDescent="0.2">
      <c r="A477" s="64"/>
      <c r="B477" s="1" t="s">
        <v>484</v>
      </c>
      <c r="C477" s="1" t="s">
        <v>442</v>
      </c>
      <c r="H477" s="42"/>
    </row>
    <row r="478" spans="1:8" x14ac:dyDescent="0.2">
      <c r="A478" s="64"/>
      <c r="B478" s="1" t="s">
        <v>485</v>
      </c>
      <c r="C478" s="1" t="s">
        <v>486</v>
      </c>
      <c r="H478" s="42"/>
    </row>
    <row r="479" spans="1:8" x14ac:dyDescent="0.2">
      <c r="A479" s="64"/>
      <c r="H479" s="42"/>
    </row>
    <row r="480" spans="1:8" x14ac:dyDescent="0.2">
      <c r="A480" s="64" t="s">
        <v>362</v>
      </c>
      <c r="B480" s="1" t="s">
        <v>480</v>
      </c>
      <c r="H480" s="42"/>
    </row>
    <row r="481" spans="1:8" x14ac:dyDescent="0.2">
      <c r="A481" s="64"/>
      <c r="B481" s="1" t="s">
        <v>481</v>
      </c>
      <c r="H481" s="42"/>
    </row>
    <row r="482" spans="1:8" x14ac:dyDescent="0.2">
      <c r="A482" s="64"/>
      <c r="H482" s="42"/>
    </row>
    <row r="483" spans="1:8" x14ac:dyDescent="0.2">
      <c r="A483" s="64" t="s">
        <v>364</v>
      </c>
      <c r="B483" s="1" t="s">
        <v>487</v>
      </c>
      <c r="H483" s="42"/>
    </row>
    <row r="484" spans="1:8" x14ac:dyDescent="0.2">
      <c r="A484" s="64"/>
      <c r="H484" s="42"/>
    </row>
    <row r="485" spans="1:8" ht="17" thickBot="1" x14ac:dyDescent="0.25">
      <c r="A485" s="65" t="s">
        <v>365</v>
      </c>
      <c r="B485" s="44" t="s">
        <v>488</v>
      </c>
      <c r="C485" s="44"/>
      <c r="D485" s="44"/>
      <c r="E485" s="44"/>
      <c r="F485" s="44"/>
      <c r="G485" s="44"/>
      <c r="H485" s="45"/>
    </row>
    <row r="486" spans="1:8" ht="17" thickBot="1" x14ac:dyDescent="0.25"/>
    <row r="487" spans="1:8" ht="17" thickBot="1" x14ac:dyDescent="0.25">
      <c r="A487" s="50" t="s">
        <v>493</v>
      </c>
      <c r="B487" s="51"/>
      <c r="C487" s="51"/>
      <c r="D487" s="51"/>
      <c r="E487" s="51"/>
      <c r="F487" s="51"/>
      <c r="G487" s="51"/>
      <c r="H487" s="52"/>
    </row>
    <row r="488" spans="1:8" x14ac:dyDescent="0.2">
      <c r="A488" s="1" t="s">
        <v>494</v>
      </c>
    </row>
    <row r="489" spans="1:8" x14ac:dyDescent="0.2">
      <c r="A489" s="1" t="s">
        <v>499</v>
      </c>
    </row>
    <row r="490" spans="1:8" x14ac:dyDescent="0.2">
      <c r="A490" s="1" t="s">
        <v>552</v>
      </c>
    </row>
    <row r="491" spans="1:8" ht="17" thickBot="1" x14ac:dyDescent="0.25"/>
    <row r="492" spans="1:8" x14ac:dyDescent="0.2">
      <c r="A492" s="46" t="s">
        <v>78</v>
      </c>
      <c r="B492" s="39"/>
      <c r="C492" s="39"/>
      <c r="D492" s="39"/>
      <c r="E492" s="39"/>
      <c r="F492" s="39"/>
      <c r="G492" s="39"/>
      <c r="H492" s="40"/>
    </row>
    <row r="493" spans="1:8" x14ac:dyDescent="0.2">
      <c r="A493" s="41"/>
      <c r="B493" s="25"/>
      <c r="H493" s="42"/>
    </row>
    <row r="494" spans="1:8" x14ac:dyDescent="0.2">
      <c r="A494" s="106" t="s">
        <v>71</v>
      </c>
      <c r="B494" s="81" t="s">
        <v>495</v>
      </c>
      <c r="C494" s="81" t="s">
        <v>496</v>
      </c>
      <c r="D494" s="81" t="s">
        <v>497</v>
      </c>
      <c r="E494" s="81" t="s">
        <v>498</v>
      </c>
      <c r="F494" s="81" t="s">
        <v>381</v>
      </c>
      <c r="H494" s="42"/>
    </row>
    <row r="495" spans="1:8" x14ac:dyDescent="0.2">
      <c r="A495" s="47">
        <v>20</v>
      </c>
      <c r="B495" s="32">
        <v>0</v>
      </c>
      <c r="C495" s="32">
        <v>0</v>
      </c>
      <c r="D495" s="32">
        <f t="shared" ref="D495:D506" si="27">B495-30</f>
        <v>-30</v>
      </c>
      <c r="E495" s="32">
        <f t="shared" ref="E495:E506" si="28">C495+10</f>
        <v>10</v>
      </c>
      <c r="F495" s="87">
        <f t="shared" ref="F495:F506" si="29">D495+E495</f>
        <v>-20</v>
      </c>
      <c r="H495" s="42"/>
    </row>
    <row r="496" spans="1:8" x14ac:dyDescent="0.2">
      <c r="A496" s="47">
        <f t="shared" ref="A496:A506" si="30">A495+10</f>
        <v>30</v>
      </c>
      <c r="B496" s="32">
        <v>0</v>
      </c>
      <c r="C496" s="32">
        <v>0</v>
      </c>
      <c r="D496" s="32">
        <f t="shared" si="27"/>
        <v>-30</v>
      </c>
      <c r="E496" s="32">
        <f t="shared" si="28"/>
        <v>10</v>
      </c>
      <c r="F496" s="87">
        <f t="shared" si="29"/>
        <v>-20</v>
      </c>
      <c r="H496" s="42"/>
    </row>
    <row r="497" spans="1:8" x14ac:dyDescent="0.2">
      <c r="A497" s="47">
        <f t="shared" si="30"/>
        <v>40</v>
      </c>
      <c r="B497" s="32">
        <v>0</v>
      </c>
      <c r="C497" s="32">
        <v>0</v>
      </c>
      <c r="D497" s="32">
        <f t="shared" si="27"/>
        <v>-30</v>
      </c>
      <c r="E497" s="32">
        <f t="shared" si="28"/>
        <v>10</v>
      </c>
      <c r="F497" s="87">
        <f t="shared" si="29"/>
        <v>-20</v>
      </c>
      <c r="H497" s="42"/>
    </row>
    <row r="498" spans="1:8" x14ac:dyDescent="0.2">
      <c r="A498" s="47">
        <f t="shared" si="30"/>
        <v>50</v>
      </c>
      <c r="B498" s="32">
        <v>0</v>
      </c>
      <c r="C498" s="32">
        <v>0</v>
      </c>
      <c r="D498" s="32">
        <f t="shared" si="27"/>
        <v>-30</v>
      </c>
      <c r="E498" s="32">
        <f t="shared" si="28"/>
        <v>10</v>
      </c>
      <c r="F498" s="87">
        <f t="shared" si="29"/>
        <v>-20</v>
      </c>
      <c r="H498" s="42"/>
    </row>
    <row r="499" spans="1:8" x14ac:dyDescent="0.2">
      <c r="A499" s="47">
        <f t="shared" si="30"/>
        <v>60</v>
      </c>
      <c r="B499" s="32">
        <f t="shared" ref="B499:B506" si="31">A499-50</f>
        <v>10</v>
      </c>
      <c r="C499" s="32">
        <v>0</v>
      </c>
      <c r="D499" s="32">
        <f t="shared" si="27"/>
        <v>-20</v>
      </c>
      <c r="E499" s="32">
        <f t="shared" si="28"/>
        <v>10</v>
      </c>
      <c r="F499" s="32">
        <f t="shared" si="29"/>
        <v>-10</v>
      </c>
      <c r="H499" s="42"/>
    </row>
    <row r="500" spans="1:8" x14ac:dyDescent="0.2">
      <c r="A500" s="47">
        <f t="shared" si="30"/>
        <v>70</v>
      </c>
      <c r="B500" s="32">
        <f t="shared" si="31"/>
        <v>20</v>
      </c>
      <c r="C500" s="32">
        <v>0</v>
      </c>
      <c r="D500" s="32">
        <f t="shared" si="27"/>
        <v>-10</v>
      </c>
      <c r="E500" s="32">
        <f t="shared" si="28"/>
        <v>10</v>
      </c>
      <c r="F500" s="32">
        <f t="shared" si="29"/>
        <v>0</v>
      </c>
      <c r="H500" s="42"/>
    </row>
    <row r="501" spans="1:8" x14ac:dyDescent="0.2">
      <c r="A501" s="47">
        <f t="shared" si="30"/>
        <v>80</v>
      </c>
      <c r="B501" s="32">
        <f t="shared" si="31"/>
        <v>30</v>
      </c>
      <c r="C501" s="32">
        <v>0</v>
      </c>
      <c r="D501" s="32">
        <f t="shared" si="27"/>
        <v>0</v>
      </c>
      <c r="E501" s="32">
        <f t="shared" si="28"/>
        <v>10</v>
      </c>
      <c r="F501" s="87">
        <f t="shared" si="29"/>
        <v>10</v>
      </c>
      <c r="H501" s="42"/>
    </row>
    <row r="502" spans="1:8" x14ac:dyDescent="0.2">
      <c r="A502" s="47">
        <f t="shared" si="30"/>
        <v>90</v>
      </c>
      <c r="B502" s="32">
        <f t="shared" si="31"/>
        <v>40</v>
      </c>
      <c r="C502" s="32">
        <f>-(A502-80)</f>
        <v>-10</v>
      </c>
      <c r="D502" s="32">
        <f t="shared" si="27"/>
        <v>10</v>
      </c>
      <c r="E502" s="32">
        <f t="shared" si="28"/>
        <v>0</v>
      </c>
      <c r="F502" s="87">
        <f t="shared" si="29"/>
        <v>10</v>
      </c>
      <c r="H502" s="42"/>
    </row>
    <row r="503" spans="1:8" x14ac:dyDescent="0.2">
      <c r="A503" s="47">
        <f t="shared" si="30"/>
        <v>100</v>
      </c>
      <c r="B503" s="32">
        <f t="shared" si="31"/>
        <v>50</v>
      </c>
      <c r="C503" s="32">
        <f>-(A503-80)</f>
        <v>-20</v>
      </c>
      <c r="D503" s="32">
        <f t="shared" si="27"/>
        <v>20</v>
      </c>
      <c r="E503" s="32">
        <f t="shared" si="28"/>
        <v>-10</v>
      </c>
      <c r="F503" s="87">
        <f t="shared" si="29"/>
        <v>10</v>
      </c>
      <c r="H503" s="42"/>
    </row>
    <row r="504" spans="1:8" x14ac:dyDescent="0.2">
      <c r="A504" s="47">
        <f t="shared" si="30"/>
        <v>110</v>
      </c>
      <c r="B504" s="32">
        <f t="shared" si="31"/>
        <v>60</v>
      </c>
      <c r="C504" s="32">
        <f>-(A504-80)</f>
        <v>-30</v>
      </c>
      <c r="D504" s="32">
        <f t="shared" si="27"/>
        <v>30</v>
      </c>
      <c r="E504" s="32">
        <f t="shared" si="28"/>
        <v>-20</v>
      </c>
      <c r="F504" s="87">
        <f t="shared" si="29"/>
        <v>10</v>
      </c>
      <c r="H504" s="42"/>
    </row>
    <row r="505" spans="1:8" x14ac:dyDescent="0.2">
      <c r="A505" s="47">
        <f t="shared" si="30"/>
        <v>120</v>
      </c>
      <c r="B505" s="32">
        <f t="shared" si="31"/>
        <v>70</v>
      </c>
      <c r="C505" s="32">
        <f>-(A505-80)</f>
        <v>-40</v>
      </c>
      <c r="D505" s="32">
        <f t="shared" si="27"/>
        <v>40</v>
      </c>
      <c r="E505" s="32">
        <f t="shared" si="28"/>
        <v>-30</v>
      </c>
      <c r="F505" s="87">
        <f t="shared" si="29"/>
        <v>10</v>
      </c>
      <c r="H505" s="42"/>
    </row>
    <row r="506" spans="1:8" x14ac:dyDescent="0.2">
      <c r="A506" s="47">
        <f t="shared" si="30"/>
        <v>130</v>
      </c>
      <c r="B506" s="32">
        <f t="shared" si="31"/>
        <v>80</v>
      </c>
      <c r="C506" s="32">
        <f>-(A506-80)</f>
        <v>-50</v>
      </c>
      <c r="D506" s="32">
        <f t="shared" si="27"/>
        <v>50</v>
      </c>
      <c r="E506" s="32">
        <f t="shared" si="28"/>
        <v>-40</v>
      </c>
      <c r="F506" s="87">
        <f t="shared" si="29"/>
        <v>10</v>
      </c>
      <c r="H506" s="42"/>
    </row>
    <row r="507" spans="1:8" x14ac:dyDescent="0.2">
      <c r="A507" s="41"/>
      <c r="H507" s="42"/>
    </row>
    <row r="508" spans="1:8" x14ac:dyDescent="0.2">
      <c r="A508" s="41" t="s">
        <v>555</v>
      </c>
      <c r="H508" s="42"/>
    </row>
    <row r="509" spans="1:8" x14ac:dyDescent="0.2">
      <c r="A509" s="41"/>
      <c r="H509" s="42"/>
    </row>
    <row r="510" spans="1:8" x14ac:dyDescent="0.2">
      <c r="A510" s="41" t="s">
        <v>500</v>
      </c>
      <c r="H510" s="42"/>
    </row>
    <row r="511" spans="1:8" x14ac:dyDescent="0.2">
      <c r="A511" s="41" t="s">
        <v>556</v>
      </c>
      <c r="H511" s="42"/>
    </row>
    <row r="512" spans="1:8" x14ac:dyDescent="0.2">
      <c r="A512" s="41" t="s">
        <v>557</v>
      </c>
      <c r="H512" s="42"/>
    </row>
    <row r="513" spans="1:8" x14ac:dyDescent="0.2">
      <c r="A513" s="41" t="s">
        <v>558</v>
      </c>
      <c r="H513" s="42"/>
    </row>
    <row r="514" spans="1:8" x14ac:dyDescent="0.2">
      <c r="A514" s="41" t="s">
        <v>559</v>
      </c>
      <c r="H514" s="42"/>
    </row>
    <row r="515" spans="1:8" x14ac:dyDescent="0.2">
      <c r="A515" s="41" t="s">
        <v>560</v>
      </c>
      <c r="H515" s="42"/>
    </row>
    <row r="516" spans="1:8" x14ac:dyDescent="0.2">
      <c r="A516" s="41"/>
      <c r="H516" s="42"/>
    </row>
    <row r="517" spans="1:8" x14ac:dyDescent="0.2">
      <c r="A517" s="41"/>
      <c r="H517" s="42"/>
    </row>
    <row r="518" spans="1:8" x14ac:dyDescent="0.2">
      <c r="A518" s="41"/>
      <c r="E518" s="1" t="s">
        <v>262</v>
      </c>
      <c r="H518" s="42"/>
    </row>
    <row r="519" spans="1:8" x14ac:dyDescent="0.2">
      <c r="A519" s="41"/>
      <c r="H519" s="42"/>
    </row>
    <row r="520" spans="1:8" x14ac:dyDescent="0.2">
      <c r="A520" s="41"/>
      <c r="H520" s="42"/>
    </row>
    <row r="521" spans="1:8" x14ac:dyDescent="0.2">
      <c r="A521" s="41"/>
      <c r="H521" s="42"/>
    </row>
    <row r="522" spans="1:8" x14ac:dyDescent="0.2">
      <c r="A522" s="41"/>
      <c r="H522" s="42"/>
    </row>
    <row r="523" spans="1:8" x14ac:dyDescent="0.2">
      <c r="A523" s="41"/>
      <c r="E523" s="104">
        <v>10</v>
      </c>
      <c r="F523" s="1" t="s">
        <v>553</v>
      </c>
      <c r="H523" s="42"/>
    </row>
    <row r="524" spans="1:8" x14ac:dyDescent="0.2">
      <c r="A524" s="41"/>
      <c r="H524" s="42"/>
    </row>
    <row r="525" spans="1:8" x14ac:dyDescent="0.2">
      <c r="A525" s="41"/>
      <c r="H525" s="42"/>
    </row>
    <row r="526" spans="1:8" x14ac:dyDescent="0.2">
      <c r="A526" s="41"/>
      <c r="B526" s="21" t="s">
        <v>71</v>
      </c>
      <c r="H526" s="42"/>
    </row>
    <row r="527" spans="1:8" x14ac:dyDescent="0.2">
      <c r="A527" s="41"/>
      <c r="C527" s="104"/>
      <c r="H527" s="42"/>
    </row>
    <row r="528" spans="1:8" x14ac:dyDescent="0.2">
      <c r="A528" s="41"/>
      <c r="H528" s="42"/>
    </row>
    <row r="529" spans="1:8" x14ac:dyDescent="0.2">
      <c r="A529" s="41"/>
      <c r="E529" s="104">
        <v>-20</v>
      </c>
      <c r="F529" s="1" t="s">
        <v>554</v>
      </c>
      <c r="H529" s="42"/>
    </row>
    <row r="530" spans="1:8" x14ac:dyDescent="0.2">
      <c r="A530" s="41"/>
      <c r="H530" s="42"/>
    </row>
    <row r="531" spans="1:8" x14ac:dyDescent="0.2">
      <c r="A531" s="41"/>
      <c r="H531" s="42"/>
    </row>
    <row r="532" spans="1:8" x14ac:dyDescent="0.2">
      <c r="A532" s="41"/>
      <c r="H532" s="42"/>
    </row>
    <row r="533" spans="1:8" x14ac:dyDescent="0.2">
      <c r="A533" s="41"/>
      <c r="H533" s="42"/>
    </row>
    <row r="534" spans="1:8" x14ac:dyDescent="0.2">
      <c r="A534" s="41"/>
      <c r="H534" s="42"/>
    </row>
    <row r="535" spans="1:8" x14ac:dyDescent="0.2">
      <c r="A535" s="41"/>
      <c r="H535" s="42"/>
    </row>
    <row r="536" spans="1:8" ht="17" thickBot="1" x14ac:dyDescent="0.25">
      <c r="A536" s="43"/>
      <c r="B536" s="44"/>
      <c r="C536" s="44"/>
      <c r="D536" s="44"/>
      <c r="E536" s="44"/>
      <c r="F536" s="44"/>
      <c r="G536" s="44"/>
      <c r="H536" s="45"/>
    </row>
    <row r="537" spans="1:8" ht="17" thickBot="1" x14ac:dyDescent="0.25"/>
    <row r="538" spans="1:8" ht="17" thickBot="1" x14ac:dyDescent="0.25">
      <c r="A538" s="50" t="s">
        <v>492</v>
      </c>
      <c r="B538" s="51"/>
      <c r="C538" s="51"/>
      <c r="D538" s="51"/>
      <c r="E538" s="51"/>
      <c r="F538" s="51"/>
      <c r="G538" s="51"/>
      <c r="H538" s="52"/>
    </row>
    <row r="539" spans="1:8" x14ac:dyDescent="0.2">
      <c r="A539" s="1" t="s">
        <v>501</v>
      </c>
    </row>
    <row r="541" spans="1:8" x14ac:dyDescent="0.2">
      <c r="B541" s="75" t="s">
        <v>368</v>
      </c>
      <c r="C541" s="75" t="s">
        <v>394</v>
      </c>
    </row>
    <row r="542" spans="1:8" x14ac:dyDescent="0.2">
      <c r="B542" s="21" t="s">
        <v>370</v>
      </c>
      <c r="C542" s="21">
        <v>40</v>
      </c>
    </row>
    <row r="543" spans="1:8" x14ac:dyDescent="0.2">
      <c r="B543" s="21" t="s">
        <v>502</v>
      </c>
      <c r="C543" s="21">
        <v>10</v>
      </c>
    </row>
    <row r="545" spans="1:8" x14ac:dyDescent="0.2">
      <c r="A545" s="1" t="s">
        <v>503</v>
      </c>
    </row>
    <row r="546" spans="1:8" x14ac:dyDescent="0.2">
      <c r="A546" s="1" t="s">
        <v>504</v>
      </c>
    </row>
    <row r="547" spans="1:8" ht="17" thickBot="1" x14ac:dyDescent="0.25"/>
    <row r="548" spans="1:8" x14ac:dyDescent="0.2">
      <c r="A548" s="46" t="s">
        <v>78</v>
      </c>
      <c r="B548" s="39"/>
      <c r="C548" s="39"/>
      <c r="D548" s="39"/>
      <c r="E548" s="39"/>
      <c r="F548" s="39"/>
      <c r="G548" s="39"/>
      <c r="H548" s="40"/>
    </row>
    <row r="549" spans="1:8" s="25" customFormat="1" x14ac:dyDescent="0.2">
      <c r="A549" s="26"/>
      <c r="H549" s="27"/>
    </row>
    <row r="550" spans="1:8" s="25" customFormat="1" x14ac:dyDescent="0.2">
      <c r="A550" s="106" t="s">
        <v>71</v>
      </c>
      <c r="B550" s="81" t="s">
        <v>505</v>
      </c>
      <c r="C550" s="81" t="s">
        <v>506</v>
      </c>
      <c r="D550" s="81" t="s">
        <v>507</v>
      </c>
      <c r="E550" s="81" t="s">
        <v>508</v>
      </c>
      <c r="F550" s="81" t="s">
        <v>381</v>
      </c>
      <c r="H550" s="27"/>
    </row>
    <row r="551" spans="1:8" s="25" customFormat="1" x14ac:dyDescent="0.2">
      <c r="A551" s="47">
        <v>40</v>
      </c>
      <c r="B551" s="32">
        <v>0</v>
      </c>
      <c r="C551" s="32">
        <v>0</v>
      </c>
      <c r="D551" s="32">
        <f t="shared" ref="D551:D563" si="32">B551-40</f>
        <v>-40</v>
      </c>
      <c r="E551" s="32">
        <f t="shared" ref="E551:E563" si="33">C551+10</f>
        <v>10</v>
      </c>
      <c r="F551" s="32">
        <f t="shared" ref="F551:F563" si="34">D551+E551</f>
        <v>-30</v>
      </c>
      <c r="H551" s="27"/>
    </row>
    <row r="552" spans="1:8" s="25" customFormat="1" x14ac:dyDescent="0.2">
      <c r="A552" s="47">
        <f t="shared" ref="A552:A563" si="35">A551+10</f>
        <v>50</v>
      </c>
      <c r="B552" s="32">
        <v>0</v>
      </c>
      <c r="C552" s="32">
        <v>0</v>
      </c>
      <c r="D552" s="32">
        <f t="shared" si="32"/>
        <v>-40</v>
      </c>
      <c r="E552" s="32">
        <f t="shared" si="33"/>
        <v>10</v>
      </c>
      <c r="F552" s="32">
        <f t="shared" si="34"/>
        <v>-30</v>
      </c>
      <c r="H552" s="27"/>
    </row>
    <row r="553" spans="1:8" s="25" customFormat="1" x14ac:dyDescent="0.2">
      <c r="A553" s="47">
        <f t="shared" si="35"/>
        <v>60</v>
      </c>
      <c r="B553" s="32">
        <v>0</v>
      </c>
      <c r="C553" s="32">
        <v>0</v>
      </c>
      <c r="D553" s="32">
        <f t="shared" si="32"/>
        <v>-40</v>
      </c>
      <c r="E553" s="32">
        <f t="shared" si="33"/>
        <v>10</v>
      </c>
      <c r="F553" s="32">
        <f t="shared" si="34"/>
        <v>-30</v>
      </c>
      <c r="H553" s="27"/>
    </row>
    <row r="554" spans="1:8" s="25" customFormat="1" x14ac:dyDescent="0.2">
      <c r="A554" s="47">
        <f t="shared" si="35"/>
        <v>70</v>
      </c>
      <c r="B554" s="32">
        <v>0</v>
      </c>
      <c r="C554" s="32">
        <v>0</v>
      </c>
      <c r="D554" s="32">
        <f t="shared" si="32"/>
        <v>-40</v>
      </c>
      <c r="E554" s="32">
        <f t="shared" si="33"/>
        <v>10</v>
      </c>
      <c r="F554" s="32">
        <f t="shared" si="34"/>
        <v>-30</v>
      </c>
      <c r="H554" s="27"/>
    </row>
    <row r="555" spans="1:8" s="25" customFormat="1" x14ac:dyDescent="0.2">
      <c r="A555" s="47">
        <f t="shared" si="35"/>
        <v>80</v>
      </c>
      <c r="B555" s="32">
        <f t="shared" ref="B555:B563" si="36">A555-70</f>
        <v>10</v>
      </c>
      <c r="C555" s="32">
        <v>0</v>
      </c>
      <c r="D555" s="32">
        <f t="shared" si="32"/>
        <v>-30</v>
      </c>
      <c r="E555" s="32">
        <f t="shared" si="33"/>
        <v>10</v>
      </c>
      <c r="F555" s="32">
        <f t="shared" si="34"/>
        <v>-20</v>
      </c>
      <c r="H555" s="27"/>
    </row>
    <row r="556" spans="1:8" s="25" customFormat="1" x14ac:dyDescent="0.2">
      <c r="A556" s="47">
        <f t="shared" si="35"/>
        <v>90</v>
      </c>
      <c r="B556" s="32">
        <f t="shared" si="36"/>
        <v>20</v>
      </c>
      <c r="C556" s="32">
        <v>0</v>
      </c>
      <c r="D556" s="32">
        <f t="shared" si="32"/>
        <v>-20</v>
      </c>
      <c r="E556" s="32">
        <f t="shared" si="33"/>
        <v>10</v>
      </c>
      <c r="F556" s="32">
        <f t="shared" si="34"/>
        <v>-10</v>
      </c>
      <c r="H556" s="27"/>
    </row>
    <row r="557" spans="1:8" s="25" customFormat="1" x14ac:dyDescent="0.2">
      <c r="A557" s="47">
        <f t="shared" si="35"/>
        <v>100</v>
      </c>
      <c r="B557" s="32">
        <f t="shared" si="36"/>
        <v>30</v>
      </c>
      <c r="C557" s="32">
        <v>0</v>
      </c>
      <c r="D557" s="32">
        <f t="shared" si="32"/>
        <v>-10</v>
      </c>
      <c r="E557" s="32">
        <f t="shared" si="33"/>
        <v>10</v>
      </c>
      <c r="F557" s="32">
        <f t="shared" si="34"/>
        <v>0</v>
      </c>
      <c r="H557" s="27"/>
    </row>
    <row r="558" spans="1:8" s="25" customFormat="1" x14ac:dyDescent="0.2">
      <c r="A558" s="47">
        <f t="shared" si="35"/>
        <v>110</v>
      </c>
      <c r="B558" s="32">
        <f t="shared" si="36"/>
        <v>40</v>
      </c>
      <c r="C558" s="32">
        <v>0</v>
      </c>
      <c r="D558" s="32">
        <f t="shared" si="32"/>
        <v>0</v>
      </c>
      <c r="E558" s="32">
        <f t="shared" si="33"/>
        <v>10</v>
      </c>
      <c r="F558" s="32">
        <f t="shared" si="34"/>
        <v>10</v>
      </c>
      <c r="H558" s="27"/>
    </row>
    <row r="559" spans="1:8" s="25" customFormat="1" x14ac:dyDescent="0.2">
      <c r="A559" s="47">
        <f t="shared" si="35"/>
        <v>120</v>
      </c>
      <c r="B559" s="32">
        <f t="shared" si="36"/>
        <v>50</v>
      </c>
      <c r="C559" s="32">
        <v>0</v>
      </c>
      <c r="D559" s="32">
        <f t="shared" si="32"/>
        <v>10</v>
      </c>
      <c r="E559" s="32">
        <f t="shared" si="33"/>
        <v>10</v>
      </c>
      <c r="F559" s="32">
        <f t="shared" si="34"/>
        <v>20</v>
      </c>
      <c r="H559" s="27"/>
    </row>
    <row r="560" spans="1:8" s="25" customFormat="1" x14ac:dyDescent="0.2">
      <c r="A560" s="47">
        <f t="shared" si="35"/>
        <v>130</v>
      </c>
      <c r="B560" s="32">
        <f t="shared" si="36"/>
        <v>60</v>
      </c>
      <c r="C560" s="32">
        <f>-(A560-120)</f>
        <v>-10</v>
      </c>
      <c r="D560" s="32">
        <f t="shared" si="32"/>
        <v>20</v>
      </c>
      <c r="E560" s="32">
        <f t="shared" si="33"/>
        <v>0</v>
      </c>
      <c r="F560" s="32">
        <f t="shared" si="34"/>
        <v>20</v>
      </c>
      <c r="H560" s="27"/>
    </row>
    <row r="561" spans="1:8" s="25" customFormat="1" x14ac:dyDescent="0.2">
      <c r="A561" s="47">
        <f t="shared" si="35"/>
        <v>140</v>
      </c>
      <c r="B561" s="32">
        <f t="shared" si="36"/>
        <v>70</v>
      </c>
      <c r="C561" s="32">
        <f>-(A561-120)</f>
        <v>-20</v>
      </c>
      <c r="D561" s="32">
        <f t="shared" si="32"/>
        <v>30</v>
      </c>
      <c r="E561" s="32">
        <f t="shared" si="33"/>
        <v>-10</v>
      </c>
      <c r="F561" s="32">
        <f t="shared" si="34"/>
        <v>20</v>
      </c>
      <c r="H561" s="27"/>
    </row>
    <row r="562" spans="1:8" s="25" customFormat="1" x14ac:dyDescent="0.2">
      <c r="A562" s="47">
        <f t="shared" si="35"/>
        <v>150</v>
      </c>
      <c r="B562" s="32">
        <f t="shared" si="36"/>
        <v>80</v>
      </c>
      <c r="C562" s="32">
        <f>-(A562-120)</f>
        <v>-30</v>
      </c>
      <c r="D562" s="32">
        <f t="shared" si="32"/>
        <v>40</v>
      </c>
      <c r="E562" s="32">
        <f t="shared" si="33"/>
        <v>-20</v>
      </c>
      <c r="F562" s="32">
        <f t="shared" si="34"/>
        <v>20</v>
      </c>
      <c r="H562" s="27"/>
    </row>
    <row r="563" spans="1:8" s="25" customFormat="1" x14ac:dyDescent="0.2">
      <c r="A563" s="47">
        <f t="shared" si="35"/>
        <v>160</v>
      </c>
      <c r="B563" s="32">
        <f t="shared" si="36"/>
        <v>90</v>
      </c>
      <c r="C563" s="32">
        <f>-(A563-120)</f>
        <v>-40</v>
      </c>
      <c r="D563" s="32">
        <f t="shared" si="32"/>
        <v>50</v>
      </c>
      <c r="E563" s="32">
        <f t="shared" si="33"/>
        <v>-30</v>
      </c>
      <c r="F563" s="32">
        <f t="shared" si="34"/>
        <v>20</v>
      </c>
      <c r="H563" s="27"/>
    </row>
    <row r="564" spans="1:8" s="25" customFormat="1" x14ac:dyDescent="0.2">
      <c r="A564" s="26"/>
      <c r="H564" s="27"/>
    </row>
    <row r="565" spans="1:8" x14ac:dyDescent="0.2">
      <c r="A565" s="41" t="s">
        <v>561</v>
      </c>
      <c r="H565" s="42"/>
    </row>
    <row r="566" spans="1:8" x14ac:dyDescent="0.2">
      <c r="A566" s="41" t="s">
        <v>562</v>
      </c>
      <c r="H566" s="42"/>
    </row>
    <row r="567" spans="1:8" x14ac:dyDescent="0.2">
      <c r="A567" s="41" t="s">
        <v>563</v>
      </c>
      <c r="H567" s="42"/>
    </row>
    <row r="568" spans="1:8" x14ac:dyDescent="0.2">
      <c r="A568" s="41" t="s">
        <v>564</v>
      </c>
      <c r="H568" s="42"/>
    </row>
    <row r="569" spans="1:8" x14ac:dyDescent="0.2">
      <c r="A569" s="41" t="s">
        <v>565</v>
      </c>
      <c r="H569" s="42"/>
    </row>
    <row r="570" spans="1:8" x14ac:dyDescent="0.2">
      <c r="A570" s="41"/>
      <c r="H570" s="42"/>
    </row>
    <row r="571" spans="1:8" x14ac:dyDescent="0.2">
      <c r="A571" s="41"/>
      <c r="H571" s="42"/>
    </row>
    <row r="572" spans="1:8" x14ac:dyDescent="0.2">
      <c r="A572" s="41"/>
      <c r="H572" s="42"/>
    </row>
    <row r="573" spans="1:8" x14ac:dyDescent="0.2">
      <c r="A573" s="41"/>
      <c r="H573" s="42"/>
    </row>
    <row r="574" spans="1:8" x14ac:dyDescent="0.2">
      <c r="A574" s="41"/>
      <c r="H574" s="42"/>
    </row>
    <row r="575" spans="1:8" x14ac:dyDescent="0.2">
      <c r="A575" s="41"/>
      <c r="H575" s="42"/>
    </row>
    <row r="576" spans="1:8" x14ac:dyDescent="0.2">
      <c r="A576" s="41"/>
      <c r="H576" s="42"/>
    </row>
    <row r="577" spans="1:8" x14ac:dyDescent="0.2">
      <c r="A577" s="41"/>
      <c r="H577" s="42"/>
    </row>
    <row r="578" spans="1:8" x14ac:dyDescent="0.2">
      <c r="A578" s="41"/>
      <c r="H578" s="42"/>
    </row>
    <row r="579" spans="1:8" x14ac:dyDescent="0.2">
      <c r="A579" s="41"/>
      <c r="H579" s="42"/>
    </row>
    <row r="580" spans="1:8" x14ac:dyDescent="0.2">
      <c r="A580" s="41"/>
      <c r="H580" s="42"/>
    </row>
    <row r="581" spans="1:8" x14ac:dyDescent="0.2">
      <c r="A581" s="41"/>
      <c r="H581" s="42"/>
    </row>
    <row r="582" spans="1:8" ht="17" thickBot="1" x14ac:dyDescent="0.25">
      <c r="A582" s="43"/>
      <c r="B582" s="44"/>
      <c r="C582" s="44"/>
      <c r="D582" s="44"/>
      <c r="E582" s="44"/>
      <c r="F582" s="44"/>
      <c r="G582" s="44"/>
      <c r="H582" s="45"/>
    </row>
    <row r="583" spans="1:8" ht="17" thickBot="1" x14ac:dyDescent="0.25"/>
    <row r="584" spans="1:8" ht="17" thickBot="1" x14ac:dyDescent="0.25">
      <c r="A584" s="50" t="s">
        <v>572</v>
      </c>
      <c r="B584" s="51"/>
      <c r="C584" s="51"/>
      <c r="D584" s="51"/>
      <c r="E584" s="51"/>
      <c r="F584" s="51"/>
      <c r="G584" s="51"/>
      <c r="H584" s="52"/>
    </row>
    <row r="586" spans="1:8" x14ac:dyDescent="0.2">
      <c r="A586" s="1" t="s">
        <v>566</v>
      </c>
    </row>
    <row r="588" spans="1:8" x14ac:dyDescent="0.2">
      <c r="B588" s="75" t="s">
        <v>368</v>
      </c>
      <c r="C588" s="75" t="s">
        <v>394</v>
      </c>
    </row>
    <row r="589" spans="1:8" x14ac:dyDescent="0.2">
      <c r="B589" s="21" t="s">
        <v>370</v>
      </c>
      <c r="C589" s="21">
        <v>30</v>
      </c>
    </row>
    <row r="590" spans="1:8" x14ac:dyDescent="0.2">
      <c r="B590" s="21" t="s">
        <v>502</v>
      </c>
      <c r="C590" s="21">
        <v>15</v>
      </c>
    </row>
    <row r="592" spans="1:8" x14ac:dyDescent="0.2">
      <c r="A592" s="1" t="s">
        <v>567</v>
      </c>
    </row>
    <row r="593" spans="1:6" x14ac:dyDescent="0.2">
      <c r="A593" s="1" t="s">
        <v>504</v>
      </c>
    </row>
    <row r="595" spans="1:6" x14ac:dyDescent="0.2">
      <c r="A595" s="4" t="s">
        <v>78</v>
      </c>
    </row>
    <row r="597" spans="1:6" x14ac:dyDescent="0.2">
      <c r="A597" s="75" t="s">
        <v>71</v>
      </c>
      <c r="B597" s="75" t="s">
        <v>568</v>
      </c>
      <c r="C597" s="75" t="s">
        <v>569</v>
      </c>
      <c r="D597" s="75" t="s">
        <v>570</v>
      </c>
      <c r="E597" s="75" t="s">
        <v>571</v>
      </c>
      <c r="F597" s="75" t="s">
        <v>381</v>
      </c>
    </row>
    <row r="598" spans="1:6" x14ac:dyDescent="0.2">
      <c r="A598" s="1">
        <f>50</f>
        <v>50</v>
      </c>
      <c r="B598" s="1">
        <v>0</v>
      </c>
      <c r="C598" s="1">
        <v>0</v>
      </c>
      <c r="D598" s="1">
        <f>B598-30</f>
        <v>-30</v>
      </c>
      <c r="E598" s="1">
        <f>C598+15</f>
        <v>15</v>
      </c>
      <c r="F598" s="1">
        <f>D598+E598</f>
        <v>-15</v>
      </c>
    </row>
    <row r="599" spans="1:6" x14ac:dyDescent="0.2">
      <c r="A599" s="1">
        <f>A598+10</f>
        <v>60</v>
      </c>
      <c r="B599" s="1">
        <v>0</v>
      </c>
      <c r="C599" s="1">
        <v>0</v>
      </c>
      <c r="D599" s="1">
        <f t="shared" ref="D599:D611" si="37">B599-30</f>
        <v>-30</v>
      </c>
      <c r="E599" s="1">
        <f t="shared" ref="E599:E611" si="38">C599+15</f>
        <v>15</v>
      </c>
      <c r="F599" s="1">
        <f t="shared" ref="F599:F611" si="39">D599+E599</f>
        <v>-15</v>
      </c>
    </row>
    <row r="600" spans="1:6" x14ac:dyDescent="0.2">
      <c r="A600" s="1">
        <f t="shared" ref="A600:A611" si="40">A599+10</f>
        <v>70</v>
      </c>
      <c r="B600" s="1">
        <v>0</v>
      </c>
      <c r="C600" s="1">
        <v>0</v>
      </c>
      <c r="D600" s="1">
        <f t="shared" si="37"/>
        <v>-30</v>
      </c>
      <c r="E600" s="1">
        <f t="shared" si="38"/>
        <v>15</v>
      </c>
      <c r="F600" s="1">
        <f t="shared" si="39"/>
        <v>-15</v>
      </c>
    </row>
    <row r="601" spans="1:6" x14ac:dyDescent="0.2">
      <c r="A601" s="1">
        <f t="shared" si="40"/>
        <v>80</v>
      </c>
      <c r="B601" s="1">
        <f>A601-70</f>
        <v>10</v>
      </c>
      <c r="C601" s="1">
        <v>0</v>
      </c>
      <c r="D601" s="1">
        <f t="shared" si="37"/>
        <v>-20</v>
      </c>
      <c r="E601" s="1">
        <f t="shared" si="38"/>
        <v>15</v>
      </c>
      <c r="F601" s="1">
        <f t="shared" si="39"/>
        <v>-5</v>
      </c>
    </row>
    <row r="602" spans="1:6" x14ac:dyDescent="0.2">
      <c r="A602" s="1">
        <f t="shared" si="40"/>
        <v>90</v>
      </c>
      <c r="B602" s="1">
        <f t="shared" ref="B602:B611" si="41">A602-70</f>
        <v>20</v>
      </c>
      <c r="C602" s="1">
        <v>0</v>
      </c>
      <c r="D602" s="1">
        <f t="shared" si="37"/>
        <v>-10</v>
      </c>
      <c r="E602" s="1">
        <f t="shared" si="38"/>
        <v>15</v>
      </c>
      <c r="F602" s="1">
        <f t="shared" si="39"/>
        <v>5</v>
      </c>
    </row>
    <row r="603" spans="1:6" x14ac:dyDescent="0.2">
      <c r="A603" s="1">
        <f t="shared" si="40"/>
        <v>100</v>
      </c>
      <c r="B603" s="1">
        <f t="shared" si="41"/>
        <v>30</v>
      </c>
      <c r="C603" s="1">
        <v>0</v>
      </c>
      <c r="D603" s="1">
        <f t="shared" si="37"/>
        <v>0</v>
      </c>
      <c r="E603" s="1">
        <f t="shared" si="38"/>
        <v>15</v>
      </c>
      <c r="F603" s="1">
        <f t="shared" si="39"/>
        <v>15</v>
      </c>
    </row>
    <row r="604" spans="1:6" x14ac:dyDescent="0.2">
      <c r="A604" s="1">
        <f t="shared" si="40"/>
        <v>110</v>
      </c>
      <c r="B604" s="1">
        <f t="shared" si="41"/>
        <v>40</v>
      </c>
      <c r="C604" s="1">
        <v>0</v>
      </c>
      <c r="D604" s="1">
        <f t="shared" si="37"/>
        <v>10</v>
      </c>
      <c r="E604" s="1">
        <f t="shared" si="38"/>
        <v>15</v>
      </c>
      <c r="F604" s="1">
        <f t="shared" si="39"/>
        <v>25</v>
      </c>
    </row>
    <row r="605" spans="1:6" x14ac:dyDescent="0.2">
      <c r="A605" s="1">
        <f t="shared" si="40"/>
        <v>120</v>
      </c>
      <c r="B605" s="1">
        <f t="shared" si="41"/>
        <v>50</v>
      </c>
      <c r="C605" s="1">
        <v>0</v>
      </c>
      <c r="D605" s="1">
        <f t="shared" si="37"/>
        <v>20</v>
      </c>
      <c r="E605" s="1">
        <f t="shared" si="38"/>
        <v>15</v>
      </c>
      <c r="F605" s="1">
        <f t="shared" si="39"/>
        <v>35</v>
      </c>
    </row>
    <row r="606" spans="1:6" x14ac:dyDescent="0.2">
      <c r="A606" s="1">
        <f t="shared" si="40"/>
        <v>130</v>
      </c>
      <c r="B606" s="1">
        <f t="shared" si="41"/>
        <v>60</v>
      </c>
      <c r="C606" s="1">
        <f>-(A606-120)</f>
        <v>-10</v>
      </c>
      <c r="D606" s="1">
        <f t="shared" si="37"/>
        <v>30</v>
      </c>
      <c r="E606" s="1">
        <f t="shared" si="38"/>
        <v>5</v>
      </c>
      <c r="F606" s="1">
        <f t="shared" si="39"/>
        <v>35</v>
      </c>
    </row>
    <row r="607" spans="1:6" x14ac:dyDescent="0.2">
      <c r="A607" s="1">
        <f t="shared" si="40"/>
        <v>140</v>
      </c>
      <c r="B607" s="1">
        <f t="shared" si="41"/>
        <v>70</v>
      </c>
      <c r="C607" s="1">
        <f t="shared" ref="C607:C611" si="42">-(A607-120)</f>
        <v>-20</v>
      </c>
      <c r="D607" s="1">
        <f t="shared" si="37"/>
        <v>40</v>
      </c>
      <c r="E607" s="1">
        <f t="shared" si="38"/>
        <v>-5</v>
      </c>
      <c r="F607" s="1">
        <f t="shared" si="39"/>
        <v>35</v>
      </c>
    </row>
    <row r="608" spans="1:6" x14ac:dyDescent="0.2">
      <c r="A608" s="1">
        <f t="shared" si="40"/>
        <v>150</v>
      </c>
      <c r="B608" s="1">
        <f t="shared" si="41"/>
        <v>80</v>
      </c>
      <c r="C608" s="1">
        <f t="shared" si="42"/>
        <v>-30</v>
      </c>
      <c r="D608" s="1">
        <f t="shared" si="37"/>
        <v>50</v>
      </c>
      <c r="E608" s="1">
        <f t="shared" si="38"/>
        <v>-15</v>
      </c>
      <c r="F608" s="1">
        <f t="shared" si="39"/>
        <v>35</v>
      </c>
    </row>
    <row r="609" spans="1:6" x14ac:dyDescent="0.2">
      <c r="A609" s="1">
        <f t="shared" si="40"/>
        <v>160</v>
      </c>
      <c r="B609" s="1">
        <f t="shared" si="41"/>
        <v>90</v>
      </c>
      <c r="C609" s="1">
        <f t="shared" si="42"/>
        <v>-40</v>
      </c>
      <c r="D609" s="1">
        <f t="shared" si="37"/>
        <v>60</v>
      </c>
      <c r="E609" s="1">
        <f t="shared" si="38"/>
        <v>-25</v>
      </c>
      <c r="F609" s="1">
        <f t="shared" si="39"/>
        <v>35</v>
      </c>
    </row>
    <row r="610" spans="1:6" x14ac:dyDescent="0.2">
      <c r="A610" s="1">
        <f t="shared" si="40"/>
        <v>170</v>
      </c>
      <c r="B610" s="1">
        <f t="shared" si="41"/>
        <v>100</v>
      </c>
      <c r="C610" s="1">
        <f t="shared" si="42"/>
        <v>-50</v>
      </c>
      <c r="D610" s="1">
        <f t="shared" si="37"/>
        <v>70</v>
      </c>
      <c r="E610" s="1">
        <f t="shared" si="38"/>
        <v>-35</v>
      </c>
      <c r="F610" s="1">
        <f t="shared" si="39"/>
        <v>35</v>
      </c>
    </row>
    <row r="611" spans="1:6" x14ac:dyDescent="0.2">
      <c r="A611" s="1">
        <f t="shared" si="40"/>
        <v>180</v>
      </c>
      <c r="B611" s="1">
        <f t="shared" si="41"/>
        <v>110</v>
      </c>
      <c r="C611" s="1">
        <f t="shared" si="42"/>
        <v>-60</v>
      </c>
      <c r="D611" s="1">
        <f t="shared" si="37"/>
        <v>80</v>
      </c>
      <c r="E611" s="1">
        <f t="shared" si="38"/>
        <v>-45</v>
      </c>
      <c r="F611" s="1">
        <f t="shared" si="39"/>
        <v>35</v>
      </c>
    </row>
    <row r="613" spans="1:6" x14ac:dyDescent="0.2">
      <c r="A613" s="1" t="s">
        <v>577</v>
      </c>
    </row>
    <row r="614" spans="1:6" x14ac:dyDescent="0.2">
      <c r="A614" s="1" t="s">
        <v>573</v>
      </c>
    </row>
    <row r="615" spans="1:6" x14ac:dyDescent="0.2">
      <c r="A615" s="1" t="s">
        <v>574</v>
      </c>
    </row>
    <row r="616" spans="1:6" x14ac:dyDescent="0.2">
      <c r="A616" s="1" t="s">
        <v>575</v>
      </c>
    </row>
    <row r="617" spans="1:6" x14ac:dyDescent="0.2">
      <c r="A617" s="1" t="s">
        <v>576</v>
      </c>
    </row>
    <row r="636" spans="1:8" ht="17" thickBot="1" x14ac:dyDescent="0.25"/>
    <row r="637" spans="1:8" ht="17" thickBot="1" x14ac:dyDescent="0.25">
      <c r="A637" s="50" t="s">
        <v>578</v>
      </c>
      <c r="B637" s="51"/>
      <c r="C637" s="51"/>
      <c r="D637" s="51"/>
      <c r="E637" s="51"/>
      <c r="F637" s="51"/>
      <c r="G637" s="51"/>
      <c r="H637" s="52"/>
    </row>
    <row r="638" spans="1:8" x14ac:dyDescent="0.2">
      <c r="A638" s="1" t="s">
        <v>579</v>
      </c>
    </row>
    <row r="639" spans="1:8" x14ac:dyDescent="0.2">
      <c r="A639" s="1" t="s">
        <v>580</v>
      </c>
    </row>
    <row r="640" spans="1:8" x14ac:dyDescent="0.2">
      <c r="A640" s="1" t="s">
        <v>581</v>
      </c>
    </row>
    <row r="642" spans="1:8" x14ac:dyDescent="0.2">
      <c r="A642" s="1" t="s">
        <v>582</v>
      </c>
    </row>
    <row r="644" spans="1:8" x14ac:dyDescent="0.2">
      <c r="A644" s="1" t="s">
        <v>78</v>
      </c>
    </row>
    <row r="645" spans="1:8" x14ac:dyDescent="0.2">
      <c r="A645" s="1" t="s">
        <v>583</v>
      </c>
    </row>
    <row r="646" spans="1:8" x14ac:dyDescent="0.2">
      <c r="A646" s="1" t="s">
        <v>584</v>
      </c>
    </row>
    <row r="647" spans="1:8" x14ac:dyDescent="0.2">
      <c r="A647" s="1" t="s">
        <v>585</v>
      </c>
    </row>
    <row r="648" spans="1:8" x14ac:dyDescent="0.2">
      <c r="A648" s="1" t="s">
        <v>586</v>
      </c>
    </row>
    <row r="649" spans="1:8" x14ac:dyDescent="0.2">
      <c r="A649" s="1" t="s">
        <v>587</v>
      </c>
    </row>
    <row r="650" spans="1:8" ht="17" thickBot="1" x14ac:dyDescent="0.25"/>
    <row r="651" spans="1:8" ht="17" thickBot="1" x14ac:dyDescent="0.25">
      <c r="A651" s="50" t="s">
        <v>588</v>
      </c>
      <c r="B651" s="51"/>
      <c r="C651" s="51"/>
      <c r="D651" s="51"/>
      <c r="E651" s="51"/>
      <c r="F651" s="51"/>
      <c r="G651" s="51"/>
      <c r="H651" s="52"/>
    </row>
    <row r="652" spans="1:8" x14ac:dyDescent="0.2">
      <c r="A652" s="1" t="s">
        <v>607</v>
      </c>
    </row>
    <row r="653" spans="1:8" x14ac:dyDescent="0.2">
      <c r="A653" s="1" t="s">
        <v>606</v>
      </c>
    </row>
    <row r="655" spans="1:8" x14ac:dyDescent="0.2">
      <c r="A655" s="1" t="s">
        <v>589</v>
      </c>
    </row>
    <row r="656" spans="1:8" x14ac:dyDescent="0.2">
      <c r="A656" s="1" t="s">
        <v>590</v>
      </c>
    </row>
    <row r="658" spans="1:2" x14ac:dyDescent="0.2">
      <c r="A658" s="1" t="s">
        <v>78</v>
      </c>
    </row>
    <row r="659" spans="1:2" x14ac:dyDescent="0.2">
      <c r="A659" s="1" t="s">
        <v>608</v>
      </c>
    </row>
    <row r="660" spans="1:2" x14ac:dyDescent="0.2">
      <c r="A660" s="1" t="s">
        <v>609</v>
      </c>
    </row>
    <row r="661" spans="1:2" x14ac:dyDescent="0.2">
      <c r="A661" s="1" t="s">
        <v>591</v>
      </c>
    </row>
    <row r="662" spans="1:2" x14ac:dyDescent="0.2">
      <c r="A662" s="1" t="s">
        <v>592</v>
      </c>
    </row>
    <row r="663" spans="1:2" x14ac:dyDescent="0.2">
      <c r="A663" s="1" t="s">
        <v>593</v>
      </c>
    </row>
    <row r="664" spans="1:2" x14ac:dyDescent="0.2">
      <c r="A664" s="1" t="s">
        <v>594</v>
      </c>
    </row>
    <row r="665" spans="1:2" x14ac:dyDescent="0.2">
      <c r="A665" s="1" t="s">
        <v>595</v>
      </c>
    </row>
    <row r="666" spans="1:2" x14ac:dyDescent="0.2">
      <c r="A666" s="1" t="s">
        <v>596</v>
      </c>
    </row>
    <row r="667" spans="1:2" x14ac:dyDescent="0.2">
      <c r="A667" s="1" t="s">
        <v>597</v>
      </c>
    </row>
    <row r="668" spans="1:2" x14ac:dyDescent="0.2">
      <c r="A668" s="1" t="s">
        <v>598</v>
      </c>
    </row>
    <row r="669" spans="1:2" x14ac:dyDescent="0.2">
      <c r="A669" s="21" t="s">
        <v>420</v>
      </c>
      <c r="B669" s="1" t="s">
        <v>599</v>
      </c>
    </row>
    <row r="670" spans="1:2" x14ac:dyDescent="0.2">
      <c r="B670" s="1" t="s">
        <v>600</v>
      </c>
    </row>
  </sheetData>
  <mergeCells count="8">
    <mergeCell ref="F40:G40"/>
    <mergeCell ref="B400:E400"/>
    <mergeCell ref="B415:E415"/>
    <mergeCell ref="D36:E36"/>
    <mergeCell ref="D37:E37"/>
    <mergeCell ref="D38:E38"/>
    <mergeCell ref="D39:E39"/>
    <mergeCell ref="E195:E196"/>
  </mergeCells>
  <pageMargins left="0.7" right="0.7" top="0.75" bottom="0.75" header="0.3" footer="0.3"/>
  <pageSetup paperSize="9" scale="84" orientation="portrait" horizontalDpi="0" verticalDpi="0"/>
  <rowBreaks count="4" manualBreakCount="4">
    <brk id="431" max="16383" man="1"/>
    <brk id="486" max="16383" man="1"/>
    <brk id="537" max="16383" man="1"/>
    <brk id="636" max="16383" man="1"/>
  </rowBreaks>
  <colBreaks count="1" manualBreakCount="1">
    <brk id="9" max="1048575" man="1"/>
  </colBreaks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B29BF7-E3F3-E84B-B7BC-476FAF53CB8D}">
  <dimension ref="A1:L256"/>
  <sheetViews>
    <sheetView showGridLines="0" rightToLeft="1" topLeftCell="A104" zoomScale="255" zoomScaleNormal="400" zoomScaleSheetLayoutView="174" workbookViewId="0">
      <selection activeCell="G72" sqref="G72:K92"/>
    </sheetView>
  </sheetViews>
  <sheetFormatPr baseColWidth="10" defaultRowHeight="16" x14ac:dyDescent="0.2"/>
  <sheetData>
    <row r="1" spans="1:8" s="1" customFormat="1" x14ac:dyDescent="0.2">
      <c r="A1" s="61" t="s">
        <v>2405</v>
      </c>
      <c r="B1" s="2"/>
      <c r="C1" s="2"/>
      <c r="D1" s="2"/>
      <c r="E1" s="2"/>
      <c r="F1" s="2"/>
      <c r="G1" s="2"/>
      <c r="H1" s="3">
        <v>45658</v>
      </c>
    </row>
    <row r="3" spans="1:8" s="1" customFormat="1" x14ac:dyDescent="0.2">
      <c r="A3" s="1" t="s">
        <v>2406</v>
      </c>
    </row>
    <row r="5" spans="1:8" s="1" customFormat="1" x14ac:dyDescent="0.2">
      <c r="B5" s="127" t="s">
        <v>341</v>
      </c>
      <c r="F5" s="4" t="s">
        <v>344</v>
      </c>
    </row>
    <row r="12" spans="1:8" s="1" customFormat="1" x14ac:dyDescent="0.2"/>
    <row r="13" spans="1:8" s="1" customFormat="1" x14ac:dyDescent="0.2">
      <c r="A13" s="1" t="s">
        <v>1386</v>
      </c>
      <c r="E13" s="1" t="s">
        <v>1390</v>
      </c>
    </row>
    <row r="14" spans="1:8" s="1" customFormat="1" x14ac:dyDescent="0.2">
      <c r="A14" s="1" t="s">
        <v>1387</v>
      </c>
      <c r="E14" s="1" t="s">
        <v>1391</v>
      </c>
    </row>
    <row r="15" spans="1:8" s="1" customFormat="1" x14ac:dyDescent="0.2">
      <c r="A15" s="1" t="s">
        <v>1388</v>
      </c>
      <c r="E15" s="1" t="s">
        <v>1392</v>
      </c>
    </row>
    <row r="16" spans="1:8" x14ac:dyDescent="0.2">
      <c r="A16" s="1" t="s">
        <v>1389</v>
      </c>
      <c r="E16" s="1" t="s">
        <v>1393</v>
      </c>
    </row>
    <row r="18" spans="1:6" x14ac:dyDescent="0.2">
      <c r="A18" s="1" t="s">
        <v>1394</v>
      </c>
    </row>
    <row r="19" spans="1:6" x14ac:dyDescent="0.2">
      <c r="A19" s="1" t="s">
        <v>1395</v>
      </c>
    </row>
    <row r="21" spans="1:6" x14ac:dyDescent="0.2">
      <c r="A21" s="1" t="s">
        <v>1396</v>
      </c>
    </row>
    <row r="23" spans="1:6" x14ac:dyDescent="0.2">
      <c r="A23" s="1"/>
      <c r="B23" s="127" t="s">
        <v>1397</v>
      </c>
      <c r="C23" s="1"/>
      <c r="F23" s="4" t="s">
        <v>1399</v>
      </c>
    </row>
    <row r="24" spans="1:6" x14ac:dyDescent="0.2">
      <c r="A24" s="1" t="s">
        <v>1398</v>
      </c>
      <c r="B24" s="127"/>
      <c r="C24" s="1"/>
      <c r="F24" s="1" t="s">
        <v>1400</v>
      </c>
    </row>
    <row r="25" spans="1:6" x14ac:dyDescent="0.2">
      <c r="A25" s="1"/>
      <c r="B25" s="127"/>
      <c r="C25" s="1"/>
    </row>
    <row r="34" spans="1:8" s="1" customFormat="1" x14ac:dyDescent="0.2">
      <c r="A34" s="1" t="s">
        <v>1401</v>
      </c>
    </row>
    <row r="35" spans="1:8" s="1" customFormat="1" x14ac:dyDescent="0.2">
      <c r="A35" s="1" t="s">
        <v>1402</v>
      </c>
    </row>
    <row r="37" spans="1:8" x14ac:dyDescent="0.2">
      <c r="A37" s="1" t="s">
        <v>1403</v>
      </c>
    </row>
    <row r="38" spans="1:8" x14ac:dyDescent="0.2">
      <c r="A38" s="1" t="s">
        <v>1404</v>
      </c>
    </row>
    <row r="39" spans="1:8" ht="17" thickBot="1" x14ac:dyDescent="0.25"/>
    <row r="40" spans="1:8" s="1" customFormat="1" x14ac:dyDescent="0.2">
      <c r="A40" s="70" t="s">
        <v>1361</v>
      </c>
      <c r="B40" s="71"/>
      <c r="C40" s="71"/>
      <c r="D40" s="71"/>
      <c r="E40" s="71"/>
      <c r="F40" s="71"/>
      <c r="G40" s="71"/>
      <c r="H40" s="72"/>
    </row>
    <row r="41" spans="1:8" s="1" customFormat="1" x14ac:dyDescent="0.2">
      <c r="A41" s="64"/>
      <c r="H41" s="42"/>
    </row>
    <row r="42" spans="1:8" s="1" customFormat="1" x14ac:dyDescent="0.2">
      <c r="A42" s="64" t="s">
        <v>360</v>
      </c>
      <c r="B42" s="1" t="s">
        <v>1362</v>
      </c>
      <c r="H42" s="42"/>
    </row>
    <row r="43" spans="1:8" s="1" customFormat="1" x14ac:dyDescent="0.2">
      <c r="A43" s="64"/>
      <c r="B43" s="1" t="s">
        <v>1363</v>
      </c>
      <c r="H43" s="42"/>
    </row>
    <row r="44" spans="1:8" s="1" customFormat="1" x14ac:dyDescent="0.2">
      <c r="A44" s="64"/>
      <c r="B44" s="1" t="s">
        <v>1364</v>
      </c>
      <c r="H44" s="42"/>
    </row>
    <row r="45" spans="1:8" s="1" customFormat="1" x14ac:dyDescent="0.2">
      <c r="A45" s="64"/>
      <c r="B45" s="1" t="s">
        <v>1365</v>
      </c>
      <c r="C45" s="1" t="s">
        <v>1366</v>
      </c>
      <c r="H45" s="42"/>
    </row>
    <row r="46" spans="1:8" s="1" customFormat="1" x14ac:dyDescent="0.2">
      <c r="A46" s="64"/>
      <c r="C46" s="1" t="s">
        <v>1372</v>
      </c>
      <c r="H46" s="42"/>
    </row>
    <row r="47" spans="1:8" s="1" customFormat="1" x14ac:dyDescent="0.2">
      <c r="A47" s="64"/>
      <c r="C47" s="1" t="s">
        <v>1373</v>
      </c>
      <c r="H47" s="42"/>
    </row>
    <row r="48" spans="1:8" s="1" customFormat="1" x14ac:dyDescent="0.2">
      <c r="A48" s="64"/>
      <c r="H48" s="42"/>
    </row>
    <row r="49" spans="1:8" s="1" customFormat="1" x14ac:dyDescent="0.2">
      <c r="A49" s="64"/>
      <c r="B49" s="1" t="s">
        <v>1371</v>
      </c>
      <c r="H49" s="42"/>
    </row>
    <row r="50" spans="1:8" s="1" customFormat="1" x14ac:dyDescent="0.2">
      <c r="A50" s="64"/>
      <c r="H50" s="42"/>
    </row>
    <row r="51" spans="1:8" s="1" customFormat="1" x14ac:dyDescent="0.2">
      <c r="A51" s="64"/>
      <c r="B51" s="1" t="s">
        <v>1369</v>
      </c>
      <c r="E51" s="1" t="s">
        <v>1405</v>
      </c>
      <c r="H51" s="42"/>
    </row>
    <row r="52" spans="1:8" s="1" customFormat="1" x14ac:dyDescent="0.2">
      <c r="A52" s="64"/>
      <c r="G52" s="1" t="s">
        <v>1406</v>
      </c>
      <c r="H52" s="217" t="s">
        <v>1407</v>
      </c>
    </row>
    <row r="53" spans="1:8" s="1" customFormat="1" x14ac:dyDescent="0.2">
      <c r="A53" s="64"/>
      <c r="E53" s="1" t="s">
        <v>1408</v>
      </c>
      <c r="H53" s="42"/>
    </row>
    <row r="54" spans="1:8" s="1" customFormat="1" x14ac:dyDescent="0.2">
      <c r="A54" s="64"/>
      <c r="G54" s="220" t="s">
        <v>1409</v>
      </c>
      <c r="H54" s="217" t="s">
        <v>1410</v>
      </c>
    </row>
    <row r="55" spans="1:8" s="1" customFormat="1" x14ac:dyDescent="0.2">
      <c r="A55" s="64"/>
      <c r="E55" s="1" t="s">
        <v>1370</v>
      </c>
      <c r="G55" s="219" t="s">
        <v>1411</v>
      </c>
      <c r="H55" s="42"/>
    </row>
    <row r="56" spans="1:8" s="1" customFormat="1" x14ac:dyDescent="0.2">
      <c r="A56" s="64"/>
      <c r="G56" s="219" t="s">
        <v>1412</v>
      </c>
      <c r="H56" s="42"/>
    </row>
    <row r="57" spans="1:8" s="1" customFormat="1" x14ac:dyDescent="0.2">
      <c r="A57" s="64"/>
      <c r="G57" s="219"/>
      <c r="H57" s="42"/>
    </row>
    <row r="58" spans="1:8" s="1" customFormat="1" x14ac:dyDescent="0.2">
      <c r="A58" s="64"/>
      <c r="B58" s="1" t="s">
        <v>1377</v>
      </c>
      <c r="H58" s="42"/>
    </row>
    <row r="59" spans="1:8" s="1" customFormat="1" x14ac:dyDescent="0.2">
      <c r="A59" s="64"/>
      <c r="E59" s="1" t="s">
        <v>1374</v>
      </c>
      <c r="H59" s="42"/>
    </row>
    <row r="60" spans="1:8" s="1" customFormat="1" x14ac:dyDescent="0.2">
      <c r="A60" s="64"/>
      <c r="E60" s="1" t="s">
        <v>1375</v>
      </c>
      <c r="H60" s="42"/>
    </row>
    <row r="61" spans="1:8" s="1" customFormat="1" x14ac:dyDescent="0.2">
      <c r="A61" s="64"/>
      <c r="E61" s="1" t="s">
        <v>1376</v>
      </c>
      <c r="H61" s="42"/>
    </row>
    <row r="62" spans="1:8" s="1" customFormat="1" x14ac:dyDescent="0.2">
      <c r="A62" s="64"/>
      <c r="H62" s="42"/>
    </row>
    <row r="63" spans="1:8" s="1" customFormat="1" x14ac:dyDescent="0.2">
      <c r="A63" s="64" t="s">
        <v>362</v>
      </c>
      <c r="B63" s="1" t="s">
        <v>1367</v>
      </c>
      <c r="H63" s="42"/>
    </row>
    <row r="64" spans="1:8" s="1" customFormat="1" x14ac:dyDescent="0.2">
      <c r="A64" s="64"/>
      <c r="H64" s="42"/>
    </row>
    <row r="65" spans="1:11" s="1" customFormat="1" x14ac:dyDescent="0.2">
      <c r="A65" s="64" t="s">
        <v>364</v>
      </c>
      <c r="B65" s="1" t="s">
        <v>487</v>
      </c>
      <c r="H65" s="42"/>
    </row>
    <row r="66" spans="1:11" s="1" customFormat="1" x14ac:dyDescent="0.2">
      <c r="A66" s="64"/>
      <c r="H66" s="42"/>
    </row>
    <row r="67" spans="1:11" s="1" customFormat="1" ht="17" thickBot="1" x14ac:dyDescent="0.25">
      <c r="A67" s="65" t="s">
        <v>365</v>
      </c>
      <c r="B67" s="44" t="s">
        <v>1368</v>
      </c>
      <c r="C67" s="44"/>
      <c r="D67" s="44"/>
      <c r="E67" s="44"/>
      <c r="F67" s="44"/>
      <c r="G67" s="44"/>
      <c r="H67" s="45"/>
    </row>
    <row r="68" spans="1:11" s="1" customFormat="1" x14ac:dyDescent="0.2"/>
    <row r="69" spans="1:11" s="1" customFormat="1" x14ac:dyDescent="0.2">
      <c r="A69" s="216" t="s">
        <v>1413</v>
      </c>
      <c r="B69" s="216"/>
      <c r="C69" s="216"/>
      <c r="D69" s="216"/>
      <c r="E69" s="216"/>
      <c r="F69" s="216"/>
      <c r="G69" s="216"/>
      <c r="H69" s="216"/>
    </row>
    <row r="70" spans="1:11" s="1" customFormat="1" x14ac:dyDescent="0.2">
      <c r="A70" s="1" t="s">
        <v>1379</v>
      </c>
    </row>
    <row r="71" spans="1:11" s="1" customFormat="1" x14ac:dyDescent="0.2"/>
    <row r="72" spans="1:11" s="1" customFormat="1" x14ac:dyDescent="0.2">
      <c r="E72" s="21" t="s">
        <v>60</v>
      </c>
      <c r="F72" s="21" t="s">
        <v>1378</v>
      </c>
      <c r="H72" s="1" t="s">
        <v>1405</v>
      </c>
    </row>
    <row r="73" spans="1:11" s="1" customFormat="1" x14ac:dyDescent="0.2">
      <c r="E73" s="75" t="s">
        <v>247</v>
      </c>
      <c r="F73" s="75" t="s">
        <v>246</v>
      </c>
      <c r="H73" s="1" t="s">
        <v>1408</v>
      </c>
    </row>
    <row r="74" spans="1:11" s="1" customFormat="1" x14ac:dyDescent="0.2">
      <c r="E74" s="21">
        <v>11</v>
      </c>
      <c r="F74" s="221">
        <v>30</v>
      </c>
      <c r="H74" s="1" t="s">
        <v>1414</v>
      </c>
    </row>
    <row r="75" spans="1:11" s="1" customFormat="1" x14ac:dyDescent="0.2">
      <c r="E75" s="21">
        <v>4</v>
      </c>
      <c r="F75" s="21">
        <v>40</v>
      </c>
      <c r="J75" s="220"/>
    </row>
    <row r="76" spans="1:11" s="1" customFormat="1" x14ac:dyDescent="0.2">
      <c r="E76" s="21">
        <v>1</v>
      </c>
      <c r="F76" s="31">
        <v>50</v>
      </c>
      <c r="H76" s="1" t="s">
        <v>1415</v>
      </c>
      <c r="J76" s="219"/>
    </row>
    <row r="77" spans="1:11" s="1" customFormat="1" x14ac:dyDescent="0.2">
      <c r="H77" s="1" t="s">
        <v>1416</v>
      </c>
    </row>
    <row r="78" spans="1:11" s="1" customFormat="1" x14ac:dyDescent="0.2">
      <c r="A78" s="1" t="s">
        <v>1380</v>
      </c>
      <c r="H78" s="1" t="s">
        <v>1417</v>
      </c>
    </row>
    <row r="79" spans="1:11" s="1" customFormat="1" x14ac:dyDescent="0.2"/>
    <row r="80" spans="1:11" s="1" customFormat="1" x14ac:dyDescent="0.2">
      <c r="A80" s="21" t="s">
        <v>872</v>
      </c>
      <c r="B80" s="21" t="s">
        <v>262</v>
      </c>
      <c r="C80" s="21" t="s">
        <v>262</v>
      </c>
      <c r="D80" s="21" t="s">
        <v>262</v>
      </c>
      <c r="E80" s="21" t="s">
        <v>1250</v>
      </c>
      <c r="K80" s="1" t="s">
        <v>381</v>
      </c>
    </row>
    <row r="81" spans="1:7" s="1" customFormat="1" x14ac:dyDescent="0.2">
      <c r="A81" s="75" t="s">
        <v>71</v>
      </c>
      <c r="B81" s="75" t="s">
        <v>2407</v>
      </c>
      <c r="C81" s="75" t="s">
        <v>2408</v>
      </c>
      <c r="D81" s="75" t="s">
        <v>2409</v>
      </c>
      <c r="E81" s="75" t="s">
        <v>262</v>
      </c>
    </row>
    <row r="82" spans="1:7" s="1" customFormat="1" x14ac:dyDescent="0.2">
      <c r="A82" s="21">
        <v>0</v>
      </c>
      <c r="B82" s="21">
        <v>-11</v>
      </c>
      <c r="C82" s="21">
        <v>-1</v>
      </c>
      <c r="D82" s="21">
        <f>-(2*-4)</f>
        <v>8</v>
      </c>
      <c r="E82" s="21">
        <f>B82+C82+D82</f>
        <v>-4</v>
      </c>
    </row>
    <row r="83" spans="1:7" s="1" customFormat="1" x14ac:dyDescent="0.2">
      <c r="A83" s="21">
        <v>10</v>
      </c>
      <c r="B83" s="21">
        <v>-11</v>
      </c>
      <c r="C83" s="21">
        <v>-1</v>
      </c>
      <c r="D83" s="21">
        <f>-(2*-4)</f>
        <v>8</v>
      </c>
      <c r="E83" s="21">
        <f t="shared" ref="E83:E92" si="0">B83+C83+D83</f>
        <v>-4</v>
      </c>
    </row>
    <row r="84" spans="1:7" s="1" customFormat="1" x14ac:dyDescent="0.2">
      <c r="A84" s="21">
        <v>20</v>
      </c>
      <c r="B84" s="21">
        <v>-11</v>
      </c>
      <c r="C84" s="21">
        <v>-1</v>
      </c>
      <c r="D84" s="21">
        <f>-(2*-4)</f>
        <v>8</v>
      </c>
      <c r="E84" s="21">
        <f t="shared" si="0"/>
        <v>-4</v>
      </c>
    </row>
    <row r="85" spans="1:7" s="1" customFormat="1" x14ac:dyDescent="0.2">
      <c r="A85" s="60">
        <v>30</v>
      </c>
      <c r="B85" s="21">
        <v>-11</v>
      </c>
      <c r="C85" s="21">
        <v>-1</v>
      </c>
      <c r="D85" s="21">
        <f>-(2*-4)</f>
        <v>8</v>
      </c>
      <c r="E85" s="21">
        <f t="shared" si="0"/>
        <v>-4</v>
      </c>
    </row>
    <row r="86" spans="1:7" s="1" customFormat="1" x14ac:dyDescent="0.2">
      <c r="A86" s="60">
        <v>40</v>
      </c>
      <c r="B86" s="21">
        <f>A86-30-11</f>
        <v>-1</v>
      </c>
      <c r="C86" s="21">
        <v>-1</v>
      </c>
      <c r="D86" s="21">
        <f>-(2*-4)</f>
        <v>8</v>
      </c>
      <c r="E86" s="21">
        <f t="shared" si="0"/>
        <v>6</v>
      </c>
    </row>
    <row r="87" spans="1:7" s="1" customFormat="1" x14ac:dyDescent="0.2">
      <c r="A87" s="60">
        <v>50</v>
      </c>
      <c r="B87" s="21">
        <f t="shared" ref="B87:B92" si="1">A87-30-11</f>
        <v>9</v>
      </c>
      <c r="C87" s="21">
        <v>-1</v>
      </c>
      <c r="D87" s="21">
        <f>-2*(A87-40-4)</f>
        <v>-12</v>
      </c>
      <c r="E87" s="21">
        <f t="shared" si="0"/>
        <v>-4</v>
      </c>
      <c r="G87" s="21" t="s">
        <v>1418</v>
      </c>
    </row>
    <row r="88" spans="1:7" s="1" customFormat="1" x14ac:dyDescent="0.2">
      <c r="A88" s="21">
        <v>60</v>
      </c>
      <c r="B88" s="21">
        <f t="shared" si="1"/>
        <v>19</v>
      </c>
      <c r="C88" s="21">
        <f>A88-50-1</f>
        <v>9</v>
      </c>
      <c r="D88" s="21">
        <f>-2*(A88-40-4)</f>
        <v>-32</v>
      </c>
      <c r="E88" s="21">
        <f t="shared" si="0"/>
        <v>-4</v>
      </c>
      <c r="G88" s="21" t="s">
        <v>1419</v>
      </c>
    </row>
    <row r="89" spans="1:7" s="1" customFormat="1" x14ac:dyDescent="0.2">
      <c r="A89" s="21">
        <v>70</v>
      </c>
      <c r="B89" s="21">
        <f t="shared" si="1"/>
        <v>29</v>
      </c>
      <c r="C89" s="21">
        <f>A89-50-1</f>
        <v>19</v>
      </c>
      <c r="D89" s="21">
        <f t="shared" ref="D89:D92" si="2">-2*(A89-40-4)</f>
        <v>-52</v>
      </c>
      <c r="E89" s="21">
        <f t="shared" si="0"/>
        <v>-4</v>
      </c>
      <c r="G89" s="21" t="s">
        <v>71</v>
      </c>
    </row>
    <row r="90" spans="1:7" s="1" customFormat="1" x14ac:dyDescent="0.2">
      <c r="A90" s="21">
        <v>80</v>
      </c>
      <c r="B90" s="21">
        <f t="shared" si="1"/>
        <v>39</v>
      </c>
      <c r="C90" s="21">
        <f>A90-50-1</f>
        <v>29</v>
      </c>
      <c r="D90" s="21">
        <f t="shared" si="2"/>
        <v>-72</v>
      </c>
      <c r="E90" s="21">
        <f t="shared" si="0"/>
        <v>-4</v>
      </c>
    </row>
    <row r="91" spans="1:7" s="1" customFormat="1" x14ac:dyDescent="0.2">
      <c r="A91" s="21">
        <v>90</v>
      </c>
      <c r="B91" s="21">
        <f t="shared" si="1"/>
        <v>49</v>
      </c>
      <c r="C91" s="21">
        <f>A91-50-1</f>
        <v>39</v>
      </c>
      <c r="D91" s="21">
        <f t="shared" si="2"/>
        <v>-92</v>
      </c>
      <c r="E91" s="21">
        <f t="shared" si="0"/>
        <v>-4</v>
      </c>
    </row>
    <row r="92" spans="1:7" s="1" customFormat="1" x14ac:dyDescent="0.2">
      <c r="A92" s="21">
        <v>100</v>
      </c>
      <c r="B92" s="21">
        <f t="shared" si="1"/>
        <v>59</v>
      </c>
      <c r="C92" s="21">
        <f>A92-50-1</f>
        <v>49</v>
      </c>
      <c r="D92" s="21">
        <f t="shared" si="2"/>
        <v>-112</v>
      </c>
      <c r="E92" s="21">
        <f t="shared" si="0"/>
        <v>-4</v>
      </c>
    </row>
    <row r="93" spans="1:7" s="1" customFormat="1" x14ac:dyDescent="0.2">
      <c r="G93" s="1" t="s">
        <v>1420</v>
      </c>
    </row>
    <row r="94" spans="1:7" s="1" customFormat="1" x14ac:dyDescent="0.2">
      <c r="G94" s="1" t="s">
        <v>1421</v>
      </c>
    </row>
    <row r="95" spans="1:7" s="1" customFormat="1" x14ac:dyDescent="0.2">
      <c r="G95" s="1" t="s">
        <v>1422</v>
      </c>
    </row>
    <row r="96" spans="1:7" s="1" customFormat="1" x14ac:dyDescent="0.2"/>
    <row r="97" spans="1:12" s="1" customFormat="1" x14ac:dyDescent="0.2">
      <c r="A97" s="216" t="s">
        <v>1381</v>
      </c>
      <c r="B97" s="216"/>
      <c r="C97" s="216"/>
      <c r="D97" s="216"/>
      <c r="E97" s="216"/>
      <c r="F97" s="216"/>
      <c r="G97" s="216"/>
      <c r="H97" s="216"/>
    </row>
    <row r="98" spans="1:12" s="1" customFormat="1" x14ac:dyDescent="0.2">
      <c r="A98" s="1" t="s">
        <v>1379</v>
      </c>
    </row>
    <row r="99" spans="1:12" s="1" customFormat="1" x14ac:dyDescent="0.2"/>
    <row r="100" spans="1:12" s="1" customFormat="1" x14ac:dyDescent="0.2">
      <c r="E100" s="222" t="s">
        <v>718</v>
      </c>
      <c r="F100" s="21" t="s">
        <v>1378</v>
      </c>
      <c r="H100" s="218" t="s">
        <v>1424</v>
      </c>
    </row>
    <row r="101" spans="1:12" s="1" customFormat="1" x14ac:dyDescent="0.2">
      <c r="E101" s="21" t="s">
        <v>247</v>
      </c>
      <c r="F101" s="21" t="s">
        <v>246</v>
      </c>
      <c r="H101" s="218" t="s">
        <v>1425</v>
      </c>
    </row>
    <row r="102" spans="1:12" s="1" customFormat="1" x14ac:dyDescent="0.2">
      <c r="E102" s="21">
        <v>12</v>
      </c>
      <c r="F102" s="21">
        <v>60</v>
      </c>
      <c r="H102" s="218" t="s">
        <v>1426</v>
      </c>
    </row>
    <row r="103" spans="1:12" s="1" customFormat="1" x14ac:dyDescent="0.2">
      <c r="E103" s="21">
        <v>5</v>
      </c>
      <c r="F103" s="21">
        <v>50</v>
      </c>
    </row>
    <row r="104" spans="1:12" s="1" customFormat="1" x14ac:dyDescent="0.2">
      <c r="E104" s="21">
        <v>1</v>
      </c>
      <c r="F104" s="21">
        <v>40</v>
      </c>
    </row>
    <row r="105" spans="1:12" s="1" customFormat="1" x14ac:dyDescent="0.2"/>
    <row r="106" spans="1:12" s="1" customFormat="1" x14ac:dyDescent="0.2">
      <c r="A106" s="14" t="s">
        <v>872</v>
      </c>
      <c r="B106" s="14" t="s">
        <v>262</v>
      </c>
      <c r="C106" s="14" t="s">
        <v>262</v>
      </c>
      <c r="D106" s="14" t="s">
        <v>262</v>
      </c>
      <c r="E106" s="14" t="s">
        <v>1250</v>
      </c>
      <c r="L106" s="1" t="s">
        <v>381</v>
      </c>
    </row>
    <row r="107" spans="1:12" s="1" customFormat="1" x14ac:dyDescent="0.2">
      <c r="A107" s="14" t="s">
        <v>71</v>
      </c>
      <c r="B107" s="14" t="s">
        <v>1428</v>
      </c>
      <c r="C107" s="14" t="s">
        <v>1427</v>
      </c>
      <c r="D107" s="14" t="s">
        <v>2410</v>
      </c>
      <c r="E107" s="14" t="s">
        <v>262</v>
      </c>
    </row>
    <row r="108" spans="1:12" s="1" customFormat="1" x14ac:dyDescent="0.2">
      <c r="A108" s="14">
        <v>0</v>
      </c>
      <c r="B108" s="14">
        <f>60-A108-12</f>
        <v>48</v>
      </c>
      <c r="C108" s="14">
        <f>40-A108-1</f>
        <v>39</v>
      </c>
      <c r="D108" s="14">
        <f>-2*(50-A108-5)</f>
        <v>-90</v>
      </c>
      <c r="E108" s="14">
        <f>B108+C108+D108</f>
        <v>-3</v>
      </c>
    </row>
    <row r="109" spans="1:12" s="1" customFormat="1" x14ac:dyDescent="0.2">
      <c r="A109" s="14">
        <f>A108+10</f>
        <v>10</v>
      </c>
      <c r="B109" s="14">
        <f>60-A109-12</f>
        <v>38</v>
      </c>
      <c r="C109" s="14">
        <f>40-A109-1</f>
        <v>29</v>
      </c>
      <c r="D109" s="14">
        <f>-2*(50-A109-5)</f>
        <v>-70</v>
      </c>
      <c r="E109" s="14">
        <f t="shared" ref="E109:E118" si="3">B109+C109+D109</f>
        <v>-3</v>
      </c>
    </row>
    <row r="110" spans="1:12" s="1" customFormat="1" x14ac:dyDescent="0.2">
      <c r="A110" s="14">
        <f t="shared" ref="A110:A118" si="4">A109+10</f>
        <v>20</v>
      </c>
      <c r="B110" s="14">
        <f t="shared" ref="B110:B113" si="5">60-A110-12</f>
        <v>28</v>
      </c>
      <c r="C110" s="14">
        <f t="shared" ref="C110:C111" si="6">40-A110-1</f>
        <v>19</v>
      </c>
      <c r="D110" s="14">
        <f t="shared" ref="D110:D112" si="7">-2*(50-A110-5)</f>
        <v>-50</v>
      </c>
      <c r="E110" s="14">
        <f t="shared" si="3"/>
        <v>-3</v>
      </c>
    </row>
    <row r="111" spans="1:12" s="1" customFormat="1" x14ac:dyDescent="0.2">
      <c r="A111" s="14">
        <f t="shared" si="4"/>
        <v>30</v>
      </c>
      <c r="B111" s="14">
        <f t="shared" si="5"/>
        <v>18</v>
      </c>
      <c r="C111" s="14">
        <f t="shared" si="6"/>
        <v>9</v>
      </c>
      <c r="D111" s="14">
        <f t="shared" si="7"/>
        <v>-30</v>
      </c>
      <c r="E111" s="14">
        <f t="shared" si="3"/>
        <v>-3</v>
      </c>
    </row>
    <row r="112" spans="1:12" s="1" customFormat="1" x14ac:dyDescent="0.2">
      <c r="A112" s="14">
        <f t="shared" si="4"/>
        <v>40</v>
      </c>
      <c r="B112" s="14">
        <f t="shared" si="5"/>
        <v>8</v>
      </c>
      <c r="C112" s="14">
        <v>-1</v>
      </c>
      <c r="D112" s="14">
        <f t="shared" si="7"/>
        <v>-10</v>
      </c>
      <c r="E112" s="14">
        <f t="shared" si="3"/>
        <v>-3</v>
      </c>
    </row>
    <row r="113" spans="1:8" s="1" customFormat="1" x14ac:dyDescent="0.2">
      <c r="A113" s="14">
        <f t="shared" si="4"/>
        <v>50</v>
      </c>
      <c r="B113" s="14">
        <f t="shared" si="5"/>
        <v>-2</v>
      </c>
      <c r="C113" s="14">
        <v>-1</v>
      </c>
      <c r="D113" s="14">
        <f>-2*-5</f>
        <v>10</v>
      </c>
      <c r="E113" s="14">
        <f t="shared" si="3"/>
        <v>7</v>
      </c>
      <c r="H113" s="21" t="s">
        <v>1418</v>
      </c>
    </row>
    <row r="114" spans="1:8" s="1" customFormat="1" x14ac:dyDescent="0.2">
      <c r="A114" s="14">
        <f t="shared" si="4"/>
        <v>60</v>
      </c>
      <c r="B114" s="14">
        <v>-12</v>
      </c>
      <c r="C114" s="14">
        <v>-1</v>
      </c>
      <c r="D114" s="14">
        <f t="shared" ref="D114:D118" si="8">-2*-5</f>
        <v>10</v>
      </c>
      <c r="E114" s="14">
        <f t="shared" si="3"/>
        <v>-3</v>
      </c>
      <c r="H114" s="21" t="s">
        <v>1419</v>
      </c>
    </row>
    <row r="115" spans="1:8" s="1" customFormat="1" x14ac:dyDescent="0.2">
      <c r="A115" s="14">
        <f t="shared" si="4"/>
        <v>70</v>
      </c>
      <c r="B115" s="14">
        <v>-12</v>
      </c>
      <c r="C115" s="14">
        <v>-1</v>
      </c>
      <c r="D115" s="14">
        <f t="shared" si="8"/>
        <v>10</v>
      </c>
      <c r="E115" s="14">
        <f t="shared" si="3"/>
        <v>-3</v>
      </c>
      <c r="H115" s="21" t="s">
        <v>71</v>
      </c>
    </row>
    <row r="116" spans="1:8" s="1" customFormat="1" x14ac:dyDescent="0.2">
      <c r="A116" s="14">
        <f t="shared" si="4"/>
        <v>80</v>
      </c>
      <c r="B116" s="14">
        <v>-12</v>
      </c>
      <c r="C116" s="14">
        <v>-1</v>
      </c>
      <c r="D116" s="14">
        <f t="shared" si="8"/>
        <v>10</v>
      </c>
      <c r="E116" s="14">
        <f t="shared" si="3"/>
        <v>-3</v>
      </c>
    </row>
    <row r="117" spans="1:8" s="1" customFormat="1" x14ac:dyDescent="0.2">
      <c r="A117" s="14">
        <f t="shared" si="4"/>
        <v>90</v>
      </c>
      <c r="B117" s="14">
        <v>-12</v>
      </c>
      <c r="C117" s="14">
        <v>-1</v>
      </c>
      <c r="D117" s="14">
        <f t="shared" si="8"/>
        <v>10</v>
      </c>
      <c r="E117" s="14">
        <f t="shared" si="3"/>
        <v>-3</v>
      </c>
    </row>
    <row r="118" spans="1:8" s="1" customFormat="1" x14ac:dyDescent="0.2">
      <c r="A118" s="14">
        <f t="shared" si="4"/>
        <v>100</v>
      </c>
      <c r="B118" s="14">
        <v>-12</v>
      </c>
      <c r="C118" s="14">
        <v>-1</v>
      </c>
      <c r="D118" s="14">
        <f t="shared" si="8"/>
        <v>10</v>
      </c>
      <c r="E118" s="14">
        <f t="shared" si="3"/>
        <v>-3</v>
      </c>
    </row>
    <row r="119" spans="1:8" s="1" customFormat="1" x14ac:dyDescent="0.2"/>
    <row r="120" spans="1:8" s="1" customFormat="1" x14ac:dyDescent="0.2"/>
    <row r="121" spans="1:8" s="1" customFormat="1" x14ac:dyDescent="0.2"/>
    <row r="122" spans="1:8" s="1" customFormat="1" x14ac:dyDescent="0.2"/>
    <row r="123" spans="1:8" s="1" customFormat="1" x14ac:dyDescent="0.2"/>
    <row r="124" spans="1:8" s="1" customFormat="1" x14ac:dyDescent="0.2"/>
    <row r="125" spans="1:8" s="1" customFormat="1" x14ac:dyDescent="0.2"/>
    <row r="126" spans="1:8" s="1" customFormat="1" x14ac:dyDescent="0.2"/>
    <row r="127" spans="1:8" s="1" customFormat="1" x14ac:dyDescent="0.2"/>
    <row r="128" spans="1:8" s="1" customFormat="1" x14ac:dyDescent="0.2"/>
    <row r="129" spans="1:8" s="1" customFormat="1" x14ac:dyDescent="0.2"/>
    <row r="130" spans="1:8" s="1" customFormat="1" x14ac:dyDescent="0.2"/>
    <row r="131" spans="1:8" s="1" customFormat="1" x14ac:dyDescent="0.2">
      <c r="A131" s="216" t="s">
        <v>1382</v>
      </c>
      <c r="B131" s="216"/>
      <c r="C131" s="216"/>
      <c r="D131" s="216"/>
      <c r="E131" s="216"/>
      <c r="F131" s="216"/>
      <c r="G131" s="216"/>
      <c r="H131" s="216"/>
    </row>
    <row r="132" spans="1:8" s="1" customFormat="1" x14ac:dyDescent="0.2">
      <c r="A132" s="1" t="s">
        <v>1383</v>
      </c>
    </row>
    <row r="133" spans="1:8" s="1" customFormat="1" x14ac:dyDescent="0.2">
      <c r="A133" s="1" t="s">
        <v>1384</v>
      </c>
    </row>
    <row r="134" spans="1:8" s="1" customFormat="1" x14ac:dyDescent="0.2">
      <c r="E134" s="21" t="s">
        <v>60</v>
      </c>
      <c r="F134" s="21" t="s">
        <v>1378</v>
      </c>
    </row>
    <row r="135" spans="1:8" s="1" customFormat="1" x14ac:dyDescent="0.2">
      <c r="E135" s="21" t="s">
        <v>247</v>
      </c>
      <c r="F135" s="21" t="s">
        <v>246</v>
      </c>
    </row>
    <row r="136" spans="1:8" s="1" customFormat="1" x14ac:dyDescent="0.2">
      <c r="E136" s="21">
        <v>9</v>
      </c>
      <c r="F136" s="21">
        <v>40</v>
      </c>
    </row>
    <row r="137" spans="1:8" s="1" customFormat="1" x14ac:dyDescent="0.2">
      <c r="E137" s="21">
        <v>5</v>
      </c>
      <c r="F137" s="21">
        <v>45</v>
      </c>
    </row>
    <row r="138" spans="1:8" s="1" customFormat="1" x14ac:dyDescent="0.2">
      <c r="E138" s="21">
        <v>2</v>
      </c>
      <c r="F138" s="21">
        <v>50</v>
      </c>
    </row>
    <row r="139" spans="1:8" s="1" customFormat="1" x14ac:dyDescent="0.2"/>
    <row r="140" spans="1:8" s="1" customFormat="1" x14ac:dyDescent="0.2"/>
    <row r="141" spans="1:8" s="1" customFormat="1" x14ac:dyDescent="0.2">
      <c r="A141" s="1" t="s">
        <v>78</v>
      </c>
    </row>
    <row r="142" spans="1:8" s="1" customFormat="1" x14ac:dyDescent="0.2">
      <c r="A142" s="21" t="s">
        <v>872</v>
      </c>
      <c r="B142" s="21" t="s">
        <v>262</v>
      </c>
      <c r="C142" s="21" t="s">
        <v>262</v>
      </c>
      <c r="D142" s="21" t="s">
        <v>262</v>
      </c>
      <c r="E142" s="21" t="s">
        <v>1250</v>
      </c>
    </row>
    <row r="143" spans="1:8" s="1" customFormat="1" x14ac:dyDescent="0.2">
      <c r="A143" s="75" t="s">
        <v>71</v>
      </c>
      <c r="B143" s="75" t="s">
        <v>1431</v>
      </c>
      <c r="C143" s="75" t="s">
        <v>1423</v>
      </c>
      <c r="D143" s="75" t="s">
        <v>1430</v>
      </c>
      <c r="E143" s="75" t="s">
        <v>262</v>
      </c>
    </row>
    <row r="144" spans="1:8" s="1" customFormat="1" x14ac:dyDescent="0.2">
      <c r="A144" s="21">
        <v>0</v>
      </c>
      <c r="B144" s="21">
        <f>IF(A144&gt;40,A144-40-9,-9)</f>
        <v>-9</v>
      </c>
      <c r="C144" s="21">
        <f>IF(A144&gt;50,A144-50-2,-2)</f>
        <v>-2</v>
      </c>
      <c r="D144" s="21">
        <f>-2*(IF(A144&gt;45,A144-45-5,-5))</f>
        <v>10</v>
      </c>
      <c r="E144" s="21">
        <f>SUM(B144:D144)</f>
        <v>-1</v>
      </c>
    </row>
    <row r="145" spans="1:5" s="1" customFormat="1" x14ac:dyDescent="0.2">
      <c r="A145" s="21">
        <v>10</v>
      </c>
      <c r="B145" s="21">
        <f t="shared" ref="B145:B154" si="9">IF(A145&gt;40,A145-40-9,-9)</f>
        <v>-9</v>
      </c>
      <c r="C145" s="21">
        <f t="shared" ref="C145:C154" si="10">IF(A145&gt;50,A145-50-2,-2)</f>
        <v>-2</v>
      </c>
      <c r="D145" s="21">
        <f t="shared" ref="D145:D154" si="11">-2*(IF(A145&gt;45,A145-45-5,-5))</f>
        <v>10</v>
      </c>
      <c r="E145" s="21">
        <f t="shared" ref="E145:E154" si="12">SUM(B145:D145)</f>
        <v>-1</v>
      </c>
    </row>
    <row r="146" spans="1:5" s="1" customFormat="1" x14ac:dyDescent="0.2">
      <c r="A146" s="21">
        <v>20</v>
      </c>
      <c r="B146" s="21">
        <f t="shared" si="9"/>
        <v>-9</v>
      </c>
      <c r="C146" s="21">
        <f t="shared" si="10"/>
        <v>-2</v>
      </c>
      <c r="D146" s="21">
        <f t="shared" si="11"/>
        <v>10</v>
      </c>
      <c r="E146" s="21">
        <f t="shared" si="12"/>
        <v>-1</v>
      </c>
    </row>
    <row r="147" spans="1:5" s="1" customFormat="1" x14ac:dyDescent="0.2">
      <c r="A147" s="21">
        <v>30</v>
      </c>
      <c r="B147" s="21">
        <f t="shared" si="9"/>
        <v>-9</v>
      </c>
      <c r="C147" s="21">
        <f t="shared" si="10"/>
        <v>-2</v>
      </c>
      <c r="D147" s="21">
        <f t="shared" si="11"/>
        <v>10</v>
      </c>
      <c r="E147" s="21">
        <f t="shared" si="12"/>
        <v>-1</v>
      </c>
    </row>
    <row r="148" spans="1:5" s="1" customFormat="1" x14ac:dyDescent="0.2">
      <c r="A148" s="21">
        <v>40</v>
      </c>
      <c r="B148" s="21">
        <f t="shared" si="9"/>
        <v>-9</v>
      </c>
      <c r="C148" s="21">
        <f t="shared" si="10"/>
        <v>-2</v>
      </c>
      <c r="D148" s="21">
        <f t="shared" si="11"/>
        <v>10</v>
      </c>
      <c r="E148" s="21">
        <f t="shared" si="12"/>
        <v>-1</v>
      </c>
    </row>
    <row r="149" spans="1:5" s="1" customFormat="1" x14ac:dyDescent="0.2">
      <c r="A149" s="21">
        <v>50</v>
      </c>
      <c r="B149" s="21">
        <f t="shared" si="9"/>
        <v>1</v>
      </c>
      <c r="C149" s="21">
        <f t="shared" si="10"/>
        <v>-2</v>
      </c>
      <c r="D149" s="21">
        <f t="shared" si="11"/>
        <v>0</v>
      </c>
      <c r="E149" s="21">
        <f t="shared" si="12"/>
        <v>-1</v>
      </c>
    </row>
    <row r="150" spans="1:5" s="1" customFormat="1" x14ac:dyDescent="0.2">
      <c r="A150" s="21">
        <v>60</v>
      </c>
      <c r="B150" s="21">
        <f t="shared" si="9"/>
        <v>11</v>
      </c>
      <c r="C150" s="21">
        <f t="shared" si="10"/>
        <v>8</v>
      </c>
      <c r="D150" s="21">
        <f t="shared" si="11"/>
        <v>-20</v>
      </c>
      <c r="E150" s="21">
        <f t="shared" si="12"/>
        <v>-1</v>
      </c>
    </row>
    <row r="151" spans="1:5" s="1" customFormat="1" x14ac:dyDescent="0.2">
      <c r="A151" s="21">
        <v>70</v>
      </c>
      <c r="B151" s="21">
        <f t="shared" si="9"/>
        <v>21</v>
      </c>
      <c r="C151" s="21">
        <f t="shared" si="10"/>
        <v>18</v>
      </c>
      <c r="D151" s="21">
        <f t="shared" si="11"/>
        <v>-40</v>
      </c>
      <c r="E151" s="21">
        <f t="shared" si="12"/>
        <v>-1</v>
      </c>
    </row>
    <row r="152" spans="1:5" s="1" customFormat="1" x14ac:dyDescent="0.2">
      <c r="A152" s="21">
        <v>80</v>
      </c>
      <c r="B152" s="21">
        <f t="shared" si="9"/>
        <v>31</v>
      </c>
      <c r="C152" s="21">
        <f t="shared" si="10"/>
        <v>28</v>
      </c>
      <c r="D152" s="21">
        <f t="shared" si="11"/>
        <v>-60</v>
      </c>
      <c r="E152" s="21">
        <f t="shared" si="12"/>
        <v>-1</v>
      </c>
    </row>
    <row r="153" spans="1:5" s="1" customFormat="1" x14ac:dyDescent="0.2">
      <c r="A153" s="21">
        <v>90</v>
      </c>
      <c r="B153" s="21">
        <f t="shared" si="9"/>
        <v>41</v>
      </c>
      <c r="C153" s="21">
        <f t="shared" si="10"/>
        <v>38</v>
      </c>
      <c r="D153" s="21">
        <f t="shared" si="11"/>
        <v>-80</v>
      </c>
      <c r="E153" s="21">
        <f t="shared" si="12"/>
        <v>-1</v>
      </c>
    </row>
    <row r="154" spans="1:5" s="1" customFormat="1" x14ac:dyDescent="0.2">
      <c r="A154" s="21">
        <v>100</v>
      </c>
      <c r="B154" s="21">
        <f t="shared" si="9"/>
        <v>51</v>
      </c>
      <c r="C154" s="21">
        <f t="shared" si="10"/>
        <v>48</v>
      </c>
      <c r="D154" s="21">
        <f t="shared" si="11"/>
        <v>-100</v>
      </c>
      <c r="E154" s="21">
        <f t="shared" si="12"/>
        <v>-1</v>
      </c>
    </row>
    <row r="155" spans="1:5" s="1" customFormat="1" x14ac:dyDescent="0.2"/>
    <row r="156" spans="1:5" s="1" customFormat="1" x14ac:dyDescent="0.2">
      <c r="A156" s="4" t="s">
        <v>1432</v>
      </c>
    </row>
    <row r="157" spans="1:5" s="1" customFormat="1" x14ac:dyDescent="0.2"/>
    <row r="158" spans="1:5" s="1" customFormat="1" x14ac:dyDescent="0.2">
      <c r="A158" s="1" t="s">
        <v>1433</v>
      </c>
    </row>
    <row r="159" spans="1:5" s="1" customFormat="1" x14ac:dyDescent="0.2">
      <c r="A159" s="1" t="s">
        <v>1434</v>
      </c>
    </row>
    <row r="160" spans="1:5" s="1" customFormat="1" x14ac:dyDescent="0.2"/>
    <row r="161" spans="1:5" s="1" customFormat="1" x14ac:dyDescent="0.2">
      <c r="A161" s="21" t="s">
        <v>872</v>
      </c>
      <c r="B161" s="21" t="s">
        <v>262</v>
      </c>
      <c r="C161" s="21" t="s">
        <v>262</v>
      </c>
      <c r="D161" s="21" t="s">
        <v>262</v>
      </c>
      <c r="E161" s="21" t="s">
        <v>1250</v>
      </c>
    </row>
    <row r="162" spans="1:5" s="1" customFormat="1" x14ac:dyDescent="0.2">
      <c r="A162" s="75" t="s">
        <v>71</v>
      </c>
      <c r="B162" s="75" t="s">
        <v>1431</v>
      </c>
      <c r="C162" s="75" t="s">
        <v>1423</v>
      </c>
      <c r="D162" s="75" t="s">
        <v>1430</v>
      </c>
      <c r="E162" s="75" t="s">
        <v>262</v>
      </c>
    </row>
    <row r="163" spans="1:5" s="1" customFormat="1" x14ac:dyDescent="0.2">
      <c r="A163" s="21">
        <v>0</v>
      </c>
      <c r="B163" s="21">
        <f>IF(A163&gt;40,A163-40-9,-9)</f>
        <v>-9</v>
      </c>
      <c r="C163" s="21">
        <f>IF(A163&gt;50,A163-50-2,-2)</f>
        <v>-2</v>
      </c>
      <c r="D163" s="21">
        <f>-2*(IF(A163&gt;45,A163-45-5,-5))</f>
        <v>10</v>
      </c>
      <c r="E163" s="21">
        <f>SUM(B163:D163)</f>
        <v>-1</v>
      </c>
    </row>
    <row r="164" spans="1:5" s="1" customFormat="1" x14ac:dyDescent="0.2">
      <c r="A164" s="21">
        <f>A163+5</f>
        <v>5</v>
      </c>
      <c r="B164" s="21">
        <f t="shared" ref="B164:B183" si="13">IF(A164&gt;40,A164-40-9,-9)</f>
        <v>-9</v>
      </c>
      <c r="C164" s="21">
        <f t="shared" ref="C164:C173" si="14">IF(A164&gt;50,A164-50-2,-2)</f>
        <v>-2</v>
      </c>
      <c r="D164" s="21">
        <f t="shared" ref="D164:D173" si="15">-2*(IF(A164&gt;45,A164-45-5,-5))</f>
        <v>10</v>
      </c>
      <c r="E164" s="21">
        <f t="shared" ref="E164:E173" si="16">SUM(B164:D164)</f>
        <v>-1</v>
      </c>
    </row>
    <row r="165" spans="1:5" s="1" customFormat="1" x14ac:dyDescent="0.2">
      <c r="A165" s="21">
        <f t="shared" ref="A165:A183" si="17">A164+5</f>
        <v>10</v>
      </c>
      <c r="B165" s="21">
        <f t="shared" si="13"/>
        <v>-9</v>
      </c>
      <c r="C165" s="21">
        <f t="shared" si="14"/>
        <v>-2</v>
      </c>
      <c r="D165" s="21">
        <f t="shared" si="15"/>
        <v>10</v>
      </c>
      <c r="E165" s="21">
        <f t="shared" si="16"/>
        <v>-1</v>
      </c>
    </row>
    <row r="166" spans="1:5" s="1" customFormat="1" x14ac:dyDescent="0.2">
      <c r="A166" s="21">
        <f t="shared" si="17"/>
        <v>15</v>
      </c>
      <c r="B166" s="21">
        <f t="shared" si="13"/>
        <v>-9</v>
      </c>
      <c r="C166" s="21">
        <f t="shared" si="14"/>
        <v>-2</v>
      </c>
      <c r="D166" s="21">
        <f t="shared" si="15"/>
        <v>10</v>
      </c>
      <c r="E166" s="21">
        <f t="shared" si="16"/>
        <v>-1</v>
      </c>
    </row>
    <row r="167" spans="1:5" s="1" customFormat="1" x14ac:dyDescent="0.2">
      <c r="A167" s="21">
        <f t="shared" si="17"/>
        <v>20</v>
      </c>
      <c r="B167" s="21">
        <f t="shared" si="13"/>
        <v>-9</v>
      </c>
      <c r="C167" s="21">
        <f t="shared" si="14"/>
        <v>-2</v>
      </c>
      <c r="D167" s="21">
        <f t="shared" si="15"/>
        <v>10</v>
      </c>
      <c r="E167" s="21">
        <f t="shared" si="16"/>
        <v>-1</v>
      </c>
    </row>
    <row r="168" spans="1:5" s="1" customFormat="1" x14ac:dyDescent="0.2">
      <c r="A168" s="21">
        <f t="shared" si="17"/>
        <v>25</v>
      </c>
      <c r="B168" s="21">
        <f t="shared" si="13"/>
        <v>-9</v>
      </c>
      <c r="C168" s="21">
        <f t="shared" si="14"/>
        <v>-2</v>
      </c>
      <c r="D168" s="21">
        <f t="shared" si="15"/>
        <v>10</v>
      </c>
      <c r="E168" s="21">
        <f t="shared" si="16"/>
        <v>-1</v>
      </c>
    </row>
    <row r="169" spans="1:5" s="1" customFormat="1" x14ac:dyDescent="0.2">
      <c r="A169" s="21">
        <f t="shared" si="17"/>
        <v>30</v>
      </c>
      <c r="B169" s="21">
        <f t="shared" si="13"/>
        <v>-9</v>
      </c>
      <c r="C169" s="21">
        <f t="shared" si="14"/>
        <v>-2</v>
      </c>
      <c r="D169" s="21">
        <f t="shared" si="15"/>
        <v>10</v>
      </c>
      <c r="E169" s="21">
        <f t="shared" si="16"/>
        <v>-1</v>
      </c>
    </row>
    <row r="170" spans="1:5" s="1" customFormat="1" x14ac:dyDescent="0.2">
      <c r="A170" s="21">
        <f t="shared" si="17"/>
        <v>35</v>
      </c>
      <c r="B170" s="21">
        <f t="shared" si="13"/>
        <v>-9</v>
      </c>
      <c r="C170" s="21">
        <f t="shared" si="14"/>
        <v>-2</v>
      </c>
      <c r="D170" s="21">
        <f t="shared" si="15"/>
        <v>10</v>
      </c>
      <c r="E170" s="21">
        <f t="shared" si="16"/>
        <v>-1</v>
      </c>
    </row>
    <row r="171" spans="1:5" s="1" customFormat="1" x14ac:dyDescent="0.2">
      <c r="A171" s="21">
        <f t="shared" si="17"/>
        <v>40</v>
      </c>
      <c r="B171" s="21">
        <f t="shared" si="13"/>
        <v>-9</v>
      </c>
      <c r="C171" s="21">
        <f t="shared" si="14"/>
        <v>-2</v>
      </c>
      <c r="D171" s="21">
        <f t="shared" si="15"/>
        <v>10</v>
      </c>
      <c r="E171" s="21">
        <f t="shared" si="16"/>
        <v>-1</v>
      </c>
    </row>
    <row r="172" spans="1:5" s="1" customFormat="1" x14ac:dyDescent="0.2">
      <c r="A172" s="21">
        <f t="shared" si="17"/>
        <v>45</v>
      </c>
      <c r="B172" s="21">
        <f t="shared" si="13"/>
        <v>-4</v>
      </c>
      <c r="C172" s="21">
        <f t="shared" si="14"/>
        <v>-2</v>
      </c>
      <c r="D172" s="21">
        <f t="shared" si="15"/>
        <v>10</v>
      </c>
      <c r="E172" s="21">
        <f t="shared" si="16"/>
        <v>4</v>
      </c>
    </row>
    <row r="173" spans="1:5" s="1" customFormat="1" x14ac:dyDescent="0.2">
      <c r="A173" s="21">
        <f t="shared" si="17"/>
        <v>50</v>
      </c>
      <c r="B173" s="21">
        <f t="shared" si="13"/>
        <v>1</v>
      </c>
      <c r="C173" s="21">
        <f t="shared" si="14"/>
        <v>-2</v>
      </c>
      <c r="D173" s="21">
        <f t="shared" si="15"/>
        <v>0</v>
      </c>
      <c r="E173" s="21">
        <f t="shared" si="16"/>
        <v>-1</v>
      </c>
    </row>
    <row r="174" spans="1:5" s="1" customFormat="1" x14ac:dyDescent="0.2">
      <c r="A174" s="21">
        <f t="shared" si="17"/>
        <v>55</v>
      </c>
      <c r="B174" s="21">
        <f t="shared" si="13"/>
        <v>6</v>
      </c>
      <c r="C174" s="21">
        <f t="shared" ref="C174:C183" si="18">IF(A174&gt;50,A174-50-2,-2)</f>
        <v>3</v>
      </c>
      <c r="D174" s="21">
        <f t="shared" ref="D174:D183" si="19">-2*(IF(A174&gt;45,A174-45-5,-5))</f>
        <v>-10</v>
      </c>
      <c r="E174" s="21">
        <f t="shared" ref="E174:E183" si="20">SUM(B174:D174)</f>
        <v>-1</v>
      </c>
    </row>
    <row r="175" spans="1:5" s="1" customFormat="1" x14ac:dyDescent="0.2">
      <c r="A175" s="21">
        <f t="shared" si="17"/>
        <v>60</v>
      </c>
      <c r="B175" s="21">
        <f t="shared" si="13"/>
        <v>11</v>
      </c>
      <c r="C175" s="21">
        <f t="shared" si="18"/>
        <v>8</v>
      </c>
      <c r="D175" s="21">
        <f t="shared" si="19"/>
        <v>-20</v>
      </c>
      <c r="E175" s="21">
        <f t="shared" si="20"/>
        <v>-1</v>
      </c>
    </row>
    <row r="176" spans="1:5" s="1" customFormat="1" x14ac:dyDescent="0.2">
      <c r="A176" s="21">
        <f t="shared" si="17"/>
        <v>65</v>
      </c>
      <c r="B176" s="21">
        <f t="shared" si="13"/>
        <v>16</v>
      </c>
      <c r="C176" s="21">
        <f t="shared" si="18"/>
        <v>13</v>
      </c>
      <c r="D176" s="21">
        <f t="shared" si="19"/>
        <v>-30</v>
      </c>
      <c r="E176" s="21">
        <f t="shared" si="20"/>
        <v>-1</v>
      </c>
    </row>
    <row r="177" spans="1:7" s="1" customFormat="1" x14ac:dyDescent="0.2">
      <c r="A177" s="21">
        <f t="shared" si="17"/>
        <v>70</v>
      </c>
      <c r="B177" s="21">
        <f t="shared" si="13"/>
        <v>21</v>
      </c>
      <c r="C177" s="21">
        <f t="shared" si="18"/>
        <v>18</v>
      </c>
      <c r="D177" s="21">
        <f t="shared" si="19"/>
        <v>-40</v>
      </c>
      <c r="E177" s="21">
        <f t="shared" si="20"/>
        <v>-1</v>
      </c>
    </row>
    <row r="178" spans="1:7" s="1" customFormat="1" x14ac:dyDescent="0.2">
      <c r="A178" s="21">
        <f t="shared" si="17"/>
        <v>75</v>
      </c>
      <c r="B178" s="21">
        <f t="shared" si="13"/>
        <v>26</v>
      </c>
      <c r="C178" s="21">
        <f t="shared" si="18"/>
        <v>23</v>
      </c>
      <c r="D178" s="21">
        <f t="shared" si="19"/>
        <v>-50</v>
      </c>
      <c r="E178" s="21">
        <f t="shared" si="20"/>
        <v>-1</v>
      </c>
    </row>
    <row r="179" spans="1:7" s="1" customFormat="1" x14ac:dyDescent="0.2">
      <c r="A179" s="21">
        <f t="shared" si="17"/>
        <v>80</v>
      </c>
      <c r="B179" s="21">
        <f t="shared" si="13"/>
        <v>31</v>
      </c>
      <c r="C179" s="21">
        <f t="shared" si="18"/>
        <v>28</v>
      </c>
      <c r="D179" s="21">
        <f t="shared" si="19"/>
        <v>-60</v>
      </c>
      <c r="E179" s="21">
        <f t="shared" si="20"/>
        <v>-1</v>
      </c>
    </row>
    <row r="180" spans="1:7" s="1" customFormat="1" x14ac:dyDescent="0.2">
      <c r="A180" s="21">
        <f>A179+5</f>
        <v>85</v>
      </c>
      <c r="B180" s="21">
        <f t="shared" si="13"/>
        <v>36</v>
      </c>
      <c r="C180" s="21">
        <f t="shared" si="18"/>
        <v>33</v>
      </c>
      <c r="D180" s="21">
        <f t="shared" si="19"/>
        <v>-70</v>
      </c>
      <c r="E180" s="21">
        <f t="shared" si="20"/>
        <v>-1</v>
      </c>
    </row>
    <row r="181" spans="1:7" s="1" customFormat="1" x14ac:dyDescent="0.2">
      <c r="A181" s="21">
        <f t="shared" si="17"/>
        <v>90</v>
      </c>
      <c r="B181" s="21">
        <f t="shared" si="13"/>
        <v>41</v>
      </c>
      <c r="C181" s="21">
        <f t="shared" si="18"/>
        <v>38</v>
      </c>
      <c r="D181" s="21">
        <f t="shared" si="19"/>
        <v>-80</v>
      </c>
      <c r="E181" s="21">
        <f t="shared" si="20"/>
        <v>-1</v>
      </c>
    </row>
    <row r="182" spans="1:7" s="1" customFormat="1" x14ac:dyDescent="0.2">
      <c r="A182" s="21">
        <f t="shared" si="17"/>
        <v>95</v>
      </c>
      <c r="B182" s="21">
        <f t="shared" si="13"/>
        <v>46</v>
      </c>
      <c r="C182" s="21">
        <f t="shared" si="18"/>
        <v>43</v>
      </c>
      <c r="D182" s="21">
        <f t="shared" si="19"/>
        <v>-90</v>
      </c>
      <c r="E182" s="21">
        <f t="shared" si="20"/>
        <v>-1</v>
      </c>
    </row>
    <row r="183" spans="1:7" s="1" customFormat="1" x14ac:dyDescent="0.2">
      <c r="A183" s="21">
        <f t="shared" si="17"/>
        <v>100</v>
      </c>
      <c r="B183" s="21">
        <f t="shared" si="13"/>
        <v>51</v>
      </c>
      <c r="C183" s="21">
        <f t="shared" si="18"/>
        <v>48</v>
      </c>
      <c r="D183" s="21">
        <f t="shared" si="19"/>
        <v>-100</v>
      </c>
      <c r="E183" s="21">
        <f t="shared" si="20"/>
        <v>-1</v>
      </c>
    </row>
    <row r="184" spans="1:7" s="1" customFormat="1" x14ac:dyDescent="0.2">
      <c r="A184" s="21"/>
    </row>
    <row r="185" spans="1:7" s="1" customFormat="1" x14ac:dyDescent="0.2">
      <c r="A185" s="223" t="s">
        <v>1435</v>
      </c>
    </row>
    <row r="186" spans="1:7" s="1" customFormat="1" x14ac:dyDescent="0.2">
      <c r="A186" s="1" t="s">
        <v>1436</v>
      </c>
    </row>
    <row r="187" spans="1:7" s="1" customFormat="1" x14ac:dyDescent="0.2">
      <c r="A187" s="1" t="s">
        <v>1437</v>
      </c>
    </row>
    <row r="188" spans="1:7" s="1" customFormat="1" x14ac:dyDescent="0.2">
      <c r="A188" s="1" t="s">
        <v>1438</v>
      </c>
    </row>
    <row r="189" spans="1:7" s="1" customFormat="1" x14ac:dyDescent="0.2"/>
    <row r="190" spans="1:7" s="1" customFormat="1" x14ac:dyDescent="0.2">
      <c r="A190" s="1" t="s">
        <v>1439</v>
      </c>
    </row>
    <row r="191" spans="1:7" s="1" customFormat="1" x14ac:dyDescent="0.2"/>
    <row r="192" spans="1:7" s="1" customFormat="1" x14ac:dyDescent="0.2">
      <c r="G192" s="1" t="s">
        <v>262</v>
      </c>
    </row>
    <row r="193" spans="2:2" s="1" customFormat="1" x14ac:dyDescent="0.2"/>
    <row r="194" spans="2:2" s="1" customFormat="1" x14ac:dyDescent="0.2"/>
    <row r="195" spans="2:2" s="1" customFormat="1" x14ac:dyDescent="0.2"/>
    <row r="196" spans="2:2" s="1" customFormat="1" x14ac:dyDescent="0.2"/>
    <row r="197" spans="2:2" s="1" customFormat="1" x14ac:dyDescent="0.2"/>
    <row r="198" spans="2:2" s="1" customFormat="1" x14ac:dyDescent="0.2"/>
    <row r="199" spans="2:2" s="1" customFormat="1" x14ac:dyDescent="0.2"/>
    <row r="200" spans="2:2" s="1" customFormat="1" x14ac:dyDescent="0.2"/>
    <row r="201" spans="2:2" s="1" customFormat="1" x14ac:dyDescent="0.2"/>
    <row r="202" spans="2:2" s="1" customFormat="1" x14ac:dyDescent="0.2"/>
    <row r="203" spans="2:2" s="1" customFormat="1" x14ac:dyDescent="0.2">
      <c r="B203" s="1" t="s">
        <v>71</v>
      </c>
    </row>
    <row r="204" spans="2:2" s="1" customFormat="1" x14ac:dyDescent="0.2"/>
    <row r="205" spans="2:2" s="1" customFormat="1" x14ac:dyDescent="0.2"/>
    <row r="206" spans="2:2" s="1" customFormat="1" x14ac:dyDescent="0.2"/>
    <row r="207" spans="2:2" s="1" customFormat="1" x14ac:dyDescent="0.2"/>
    <row r="208" spans="2:2" s="1" customFormat="1" x14ac:dyDescent="0.2"/>
    <row r="209" spans="1:8" s="1" customFormat="1" x14ac:dyDescent="0.2"/>
    <row r="210" spans="1:8" s="1" customFormat="1" x14ac:dyDescent="0.2"/>
    <row r="211" spans="1:8" s="1" customFormat="1" x14ac:dyDescent="0.2"/>
    <row r="212" spans="1:8" s="1" customFormat="1" x14ac:dyDescent="0.2"/>
    <row r="213" spans="1:8" s="1" customFormat="1" x14ac:dyDescent="0.2">
      <c r="A213" s="216" t="s">
        <v>1385</v>
      </c>
      <c r="B213" s="216"/>
      <c r="C213" s="216"/>
      <c r="D213" s="216"/>
      <c r="E213" s="216"/>
      <c r="F213" s="216"/>
      <c r="G213" s="216"/>
      <c r="H213" s="216"/>
    </row>
    <row r="214" spans="1:8" s="1" customFormat="1" x14ac:dyDescent="0.2">
      <c r="A214" s="1" t="s">
        <v>1842</v>
      </c>
    </row>
    <row r="215" spans="1:8" s="1" customFormat="1" x14ac:dyDescent="0.2">
      <c r="A215" s="1" t="s">
        <v>1383</v>
      </c>
    </row>
    <row r="216" spans="1:8" s="1" customFormat="1" x14ac:dyDescent="0.2">
      <c r="A216" s="1" t="s">
        <v>1384</v>
      </c>
    </row>
    <row r="217" spans="1:8" s="1" customFormat="1" x14ac:dyDescent="0.2">
      <c r="E217" s="21" t="s">
        <v>718</v>
      </c>
      <c r="F217" s="21" t="s">
        <v>1378</v>
      </c>
    </row>
    <row r="218" spans="1:8" s="1" customFormat="1" x14ac:dyDescent="0.2">
      <c r="E218" s="21" t="s">
        <v>247</v>
      </c>
      <c r="F218" s="21" t="s">
        <v>246</v>
      </c>
    </row>
    <row r="219" spans="1:8" s="1" customFormat="1" x14ac:dyDescent="0.2">
      <c r="E219" s="21">
        <v>14</v>
      </c>
      <c r="F219" s="21">
        <v>70</v>
      </c>
    </row>
    <row r="220" spans="1:8" s="1" customFormat="1" x14ac:dyDescent="0.2">
      <c r="E220" s="21">
        <v>8</v>
      </c>
      <c r="F220" s="21">
        <v>65</v>
      </c>
    </row>
    <row r="221" spans="1:8" s="1" customFormat="1" x14ac:dyDescent="0.2">
      <c r="E221" s="21">
        <v>3</v>
      </c>
      <c r="F221" s="21">
        <v>60</v>
      </c>
    </row>
    <row r="222" spans="1:8" s="1" customFormat="1" x14ac:dyDescent="0.2"/>
    <row r="223" spans="1:8" s="1" customFormat="1" x14ac:dyDescent="0.2">
      <c r="A223" s="1" t="s">
        <v>78</v>
      </c>
    </row>
    <row r="224" spans="1:8" s="1" customFormat="1" x14ac:dyDescent="0.2">
      <c r="A224" s="1" t="s">
        <v>1440</v>
      </c>
    </row>
    <row r="225" spans="1:12" s="1" customFormat="1" x14ac:dyDescent="0.2">
      <c r="A225" s="1" t="s">
        <v>1441</v>
      </c>
    </row>
    <row r="226" spans="1:12" s="1" customFormat="1" x14ac:dyDescent="0.2"/>
    <row r="227" spans="1:12" s="1" customFormat="1" x14ac:dyDescent="0.2">
      <c r="A227" s="14" t="s">
        <v>872</v>
      </c>
      <c r="B227" s="14" t="s">
        <v>262</v>
      </c>
      <c r="C227" s="14" t="s">
        <v>262</v>
      </c>
      <c r="D227" s="14" t="s">
        <v>262</v>
      </c>
      <c r="E227" s="14" t="s">
        <v>1250</v>
      </c>
    </row>
    <row r="228" spans="1:12" s="1" customFormat="1" x14ac:dyDescent="0.2">
      <c r="A228" s="14" t="s">
        <v>71</v>
      </c>
      <c r="B228" s="14" t="s">
        <v>1428</v>
      </c>
      <c r="C228" s="14" t="s">
        <v>1442</v>
      </c>
      <c r="D228" s="14" t="s">
        <v>1443</v>
      </c>
      <c r="E228" s="14" t="s">
        <v>262</v>
      </c>
    </row>
    <row r="229" spans="1:12" s="1" customFormat="1" x14ac:dyDescent="0.2">
      <c r="A229" s="14">
        <v>0</v>
      </c>
      <c r="B229" s="14">
        <f>IF(A229&lt;60,60-A229-3,-3)</f>
        <v>57</v>
      </c>
      <c r="C229" s="14">
        <f>IF(A229&lt;70,70-A229-14,-14)</f>
        <v>56</v>
      </c>
      <c r="D229" s="14">
        <f>-2*IF(A229&lt;65,65-A229-8,-8)</f>
        <v>-114</v>
      </c>
      <c r="E229" s="14">
        <f>SUM(B229:D229)</f>
        <v>-1</v>
      </c>
    </row>
    <row r="230" spans="1:12" s="1" customFormat="1" x14ac:dyDescent="0.2">
      <c r="A230" s="14">
        <f>A229+5</f>
        <v>5</v>
      </c>
      <c r="B230" s="14">
        <f t="shared" ref="B230:B249" si="21">IF(A230&lt;60,60-A230-3,-3)</f>
        <v>52</v>
      </c>
      <c r="C230" s="14">
        <f t="shared" ref="C230:C249" si="22">IF(A230&lt;70,70-A230-14,-14)</f>
        <v>51</v>
      </c>
      <c r="D230" s="14">
        <f t="shared" ref="D230:D249" si="23">-2*IF(A230&lt;65,65-A230-8,-8)</f>
        <v>-104</v>
      </c>
      <c r="E230" s="14">
        <f t="shared" ref="E230:E249" si="24">SUM(B230:D230)</f>
        <v>-1</v>
      </c>
    </row>
    <row r="231" spans="1:12" s="1" customFormat="1" x14ac:dyDescent="0.2">
      <c r="A231" s="14">
        <f t="shared" ref="A231:A249" si="25">A230+5</f>
        <v>10</v>
      </c>
      <c r="B231" s="14">
        <f t="shared" si="21"/>
        <v>47</v>
      </c>
      <c r="C231" s="14">
        <f t="shared" si="22"/>
        <v>46</v>
      </c>
      <c r="D231" s="14">
        <f t="shared" si="23"/>
        <v>-94</v>
      </c>
      <c r="E231" s="14">
        <f t="shared" si="24"/>
        <v>-1</v>
      </c>
      <c r="L231" s="1" t="s">
        <v>381</v>
      </c>
    </row>
    <row r="232" spans="1:12" s="1" customFormat="1" x14ac:dyDescent="0.2">
      <c r="A232" s="14">
        <f t="shared" si="25"/>
        <v>15</v>
      </c>
      <c r="B232" s="14">
        <f t="shared" si="21"/>
        <v>42</v>
      </c>
      <c r="C232" s="14">
        <f t="shared" si="22"/>
        <v>41</v>
      </c>
      <c r="D232" s="14">
        <f t="shared" si="23"/>
        <v>-84</v>
      </c>
      <c r="E232" s="14">
        <f t="shared" si="24"/>
        <v>-1</v>
      </c>
    </row>
    <row r="233" spans="1:12" s="1" customFormat="1" x14ac:dyDescent="0.2">
      <c r="A233" s="14">
        <f t="shared" si="25"/>
        <v>20</v>
      </c>
      <c r="B233" s="14">
        <f t="shared" si="21"/>
        <v>37</v>
      </c>
      <c r="C233" s="14">
        <f t="shared" si="22"/>
        <v>36</v>
      </c>
      <c r="D233" s="14">
        <f t="shared" si="23"/>
        <v>-74</v>
      </c>
      <c r="E233" s="14">
        <f t="shared" si="24"/>
        <v>-1</v>
      </c>
    </row>
    <row r="234" spans="1:12" s="1" customFormat="1" x14ac:dyDescent="0.2">
      <c r="A234" s="14">
        <f t="shared" si="25"/>
        <v>25</v>
      </c>
      <c r="B234" s="14">
        <f t="shared" si="21"/>
        <v>32</v>
      </c>
      <c r="C234" s="14">
        <f t="shared" si="22"/>
        <v>31</v>
      </c>
      <c r="D234" s="14">
        <f t="shared" si="23"/>
        <v>-64</v>
      </c>
      <c r="E234" s="14">
        <f t="shared" si="24"/>
        <v>-1</v>
      </c>
    </row>
    <row r="235" spans="1:12" s="1" customFormat="1" x14ac:dyDescent="0.2">
      <c r="A235" s="14">
        <f t="shared" si="25"/>
        <v>30</v>
      </c>
      <c r="B235" s="14">
        <f t="shared" si="21"/>
        <v>27</v>
      </c>
      <c r="C235" s="14">
        <f t="shared" si="22"/>
        <v>26</v>
      </c>
      <c r="D235" s="14">
        <f t="shared" si="23"/>
        <v>-54</v>
      </c>
      <c r="E235" s="14">
        <f t="shared" si="24"/>
        <v>-1</v>
      </c>
    </row>
    <row r="236" spans="1:12" s="1" customFormat="1" x14ac:dyDescent="0.2">
      <c r="A236" s="14">
        <f t="shared" si="25"/>
        <v>35</v>
      </c>
      <c r="B236" s="14">
        <f t="shared" si="21"/>
        <v>22</v>
      </c>
      <c r="C236" s="14">
        <f t="shared" si="22"/>
        <v>21</v>
      </c>
      <c r="D236" s="14">
        <f t="shared" si="23"/>
        <v>-44</v>
      </c>
      <c r="E236" s="14">
        <f t="shared" si="24"/>
        <v>-1</v>
      </c>
    </row>
    <row r="237" spans="1:12" s="1" customFormat="1" x14ac:dyDescent="0.2">
      <c r="A237" s="14">
        <f t="shared" si="25"/>
        <v>40</v>
      </c>
      <c r="B237" s="14">
        <f t="shared" si="21"/>
        <v>17</v>
      </c>
      <c r="C237" s="14">
        <f t="shared" si="22"/>
        <v>16</v>
      </c>
      <c r="D237" s="14">
        <f t="shared" si="23"/>
        <v>-34</v>
      </c>
      <c r="E237" s="14">
        <f t="shared" si="24"/>
        <v>-1</v>
      </c>
    </row>
    <row r="238" spans="1:12" s="1" customFormat="1" x14ac:dyDescent="0.2">
      <c r="A238" s="14">
        <f t="shared" si="25"/>
        <v>45</v>
      </c>
      <c r="B238" s="14">
        <f t="shared" si="21"/>
        <v>12</v>
      </c>
      <c r="C238" s="14">
        <f t="shared" si="22"/>
        <v>11</v>
      </c>
      <c r="D238" s="14">
        <f t="shared" si="23"/>
        <v>-24</v>
      </c>
      <c r="E238" s="14">
        <f t="shared" si="24"/>
        <v>-1</v>
      </c>
      <c r="H238" s="21" t="s">
        <v>1418</v>
      </c>
    </row>
    <row r="239" spans="1:12" s="1" customFormat="1" x14ac:dyDescent="0.2">
      <c r="A239" s="14">
        <f t="shared" si="25"/>
        <v>50</v>
      </c>
      <c r="B239" s="14">
        <f t="shared" si="21"/>
        <v>7</v>
      </c>
      <c r="C239" s="14">
        <f t="shared" si="22"/>
        <v>6</v>
      </c>
      <c r="D239" s="14">
        <f t="shared" si="23"/>
        <v>-14</v>
      </c>
      <c r="E239" s="14">
        <f t="shared" si="24"/>
        <v>-1</v>
      </c>
      <c r="H239" s="21" t="s">
        <v>1419</v>
      </c>
    </row>
    <row r="240" spans="1:12" s="1" customFormat="1" x14ac:dyDescent="0.2">
      <c r="A240" s="14">
        <f t="shared" si="25"/>
        <v>55</v>
      </c>
      <c r="B240" s="14">
        <f>IF(A240&lt;60,60-A240-3,-3)</f>
        <v>2</v>
      </c>
      <c r="C240" s="14">
        <f>IF(A240&lt;70,70-A240-14,-14)</f>
        <v>1</v>
      </c>
      <c r="D240" s="14">
        <f>-2*IF(A240&lt;65,65-A240-8,-8)</f>
        <v>-4</v>
      </c>
      <c r="E240" s="14">
        <f t="shared" si="24"/>
        <v>-1</v>
      </c>
      <c r="H240" s="21" t="s">
        <v>71</v>
      </c>
    </row>
    <row r="241" spans="1:5" s="1" customFormat="1" x14ac:dyDescent="0.2">
      <c r="A241" s="14">
        <f t="shared" si="25"/>
        <v>60</v>
      </c>
      <c r="B241" s="14">
        <f t="shared" si="21"/>
        <v>-3</v>
      </c>
      <c r="C241" s="14">
        <f t="shared" si="22"/>
        <v>-4</v>
      </c>
      <c r="D241" s="14">
        <f t="shared" si="23"/>
        <v>6</v>
      </c>
      <c r="E241" s="14">
        <f t="shared" si="24"/>
        <v>-1</v>
      </c>
    </row>
    <row r="242" spans="1:5" s="1" customFormat="1" x14ac:dyDescent="0.2">
      <c r="A242" s="14">
        <f t="shared" si="25"/>
        <v>65</v>
      </c>
      <c r="B242" s="14">
        <f t="shared" si="21"/>
        <v>-3</v>
      </c>
      <c r="C242" s="14">
        <f t="shared" si="22"/>
        <v>-9</v>
      </c>
      <c r="D242" s="14">
        <f t="shared" si="23"/>
        <v>16</v>
      </c>
      <c r="E242" s="14">
        <f t="shared" si="24"/>
        <v>4</v>
      </c>
    </row>
    <row r="243" spans="1:5" s="1" customFormat="1" x14ac:dyDescent="0.2">
      <c r="A243" s="14">
        <f t="shared" si="25"/>
        <v>70</v>
      </c>
      <c r="B243" s="14">
        <f t="shared" si="21"/>
        <v>-3</v>
      </c>
      <c r="C243" s="14">
        <f t="shared" si="22"/>
        <v>-14</v>
      </c>
      <c r="D243" s="14">
        <f t="shared" si="23"/>
        <v>16</v>
      </c>
      <c r="E243" s="14">
        <f t="shared" si="24"/>
        <v>-1</v>
      </c>
    </row>
    <row r="244" spans="1:5" s="1" customFormat="1" x14ac:dyDescent="0.2">
      <c r="A244" s="14">
        <f t="shared" si="25"/>
        <v>75</v>
      </c>
      <c r="B244" s="14">
        <f t="shared" si="21"/>
        <v>-3</v>
      </c>
      <c r="C244" s="14">
        <f t="shared" si="22"/>
        <v>-14</v>
      </c>
      <c r="D244" s="14">
        <f t="shared" si="23"/>
        <v>16</v>
      </c>
      <c r="E244" s="14">
        <f t="shared" si="24"/>
        <v>-1</v>
      </c>
    </row>
    <row r="245" spans="1:5" s="1" customFormat="1" x14ac:dyDescent="0.2">
      <c r="A245" s="14">
        <f t="shared" si="25"/>
        <v>80</v>
      </c>
      <c r="B245" s="14">
        <f t="shared" si="21"/>
        <v>-3</v>
      </c>
      <c r="C245" s="14">
        <f t="shared" si="22"/>
        <v>-14</v>
      </c>
      <c r="D245" s="14">
        <f t="shared" si="23"/>
        <v>16</v>
      </c>
      <c r="E245" s="14">
        <f t="shared" si="24"/>
        <v>-1</v>
      </c>
    </row>
    <row r="246" spans="1:5" s="1" customFormat="1" x14ac:dyDescent="0.2">
      <c r="A246" s="14">
        <f t="shared" si="25"/>
        <v>85</v>
      </c>
      <c r="B246" s="14">
        <f t="shared" si="21"/>
        <v>-3</v>
      </c>
      <c r="C246" s="14">
        <f t="shared" si="22"/>
        <v>-14</v>
      </c>
      <c r="D246" s="14">
        <f t="shared" si="23"/>
        <v>16</v>
      </c>
      <c r="E246" s="14">
        <f t="shared" si="24"/>
        <v>-1</v>
      </c>
    </row>
    <row r="247" spans="1:5" s="1" customFormat="1" x14ac:dyDescent="0.2">
      <c r="A247" s="14">
        <f>A246+5</f>
        <v>90</v>
      </c>
      <c r="B247" s="14">
        <f t="shared" si="21"/>
        <v>-3</v>
      </c>
      <c r="C247" s="14">
        <f t="shared" si="22"/>
        <v>-14</v>
      </c>
      <c r="D247" s="14">
        <f t="shared" si="23"/>
        <v>16</v>
      </c>
      <c r="E247" s="14">
        <f t="shared" si="24"/>
        <v>-1</v>
      </c>
    </row>
    <row r="248" spans="1:5" s="1" customFormat="1" x14ac:dyDescent="0.2">
      <c r="A248" s="14">
        <f t="shared" si="25"/>
        <v>95</v>
      </c>
      <c r="B248" s="14">
        <f t="shared" si="21"/>
        <v>-3</v>
      </c>
      <c r="C248" s="14">
        <f t="shared" si="22"/>
        <v>-14</v>
      </c>
      <c r="D248" s="14">
        <f t="shared" si="23"/>
        <v>16</v>
      </c>
      <c r="E248" s="14">
        <f t="shared" si="24"/>
        <v>-1</v>
      </c>
    </row>
    <row r="249" spans="1:5" s="1" customFormat="1" x14ac:dyDescent="0.2">
      <c r="A249" s="14">
        <f t="shared" si="25"/>
        <v>100</v>
      </c>
      <c r="B249" s="14">
        <f t="shared" si="21"/>
        <v>-3</v>
      </c>
      <c r="C249" s="14">
        <f t="shared" si="22"/>
        <v>-14</v>
      </c>
      <c r="D249" s="14">
        <f t="shared" si="23"/>
        <v>16</v>
      </c>
      <c r="E249" s="14">
        <f t="shared" si="24"/>
        <v>-1</v>
      </c>
    </row>
    <row r="250" spans="1:5" s="1" customFormat="1" x14ac:dyDescent="0.2"/>
    <row r="251" spans="1:5" s="1" customFormat="1" x14ac:dyDescent="0.2"/>
    <row r="252" spans="1:5" s="1" customFormat="1" x14ac:dyDescent="0.2"/>
    <row r="253" spans="1:5" s="1" customFormat="1" x14ac:dyDescent="0.2"/>
    <row r="254" spans="1:5" s="1" customFormat="1" x14ac:dyDescent="0.2"/>
    <row r="255" spans="1:5" s="1" customFormat="1" x14ac:dyDescent="0.2"/>
    <row r="256" spans="1:5" s="1" customFormat="1" x14ac:dyDescent="0.2"/>
  </sheetData>
  <pageMargins left="0.7" right="0.7" top="0.75" bottom="0.75" header="0.3" footer="0.3"/>
  <pageSetup paperSize="9" scale="95" orientation="portrait" horizontalDpi="0" verticalDpi="0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0F17D6-30FB-254D-8888-5A574311804C}">
  <dimension ref="A1:M370"/>
  <sheetViews>
    <sheetView rightToLeft="1" zoomScale="240" zoomScaleNormal="207" zoomScaleSheetLayoutView="174" workbookViewId="0">
      <selection activeCell="A84" sqref="A84"/>
    </sheetView>
  </sheetViews>
  <sheetFormatPr baseColWidth="10" defaultRowHeight="16" x14ac:dyDescent="0.2"/>
  <sheetData>
    <row r="1" spans="1:8" s="1" customFormat="1" x14ac:dyDescent="0.2">
      <c r="A1" s="61" t="s">
        <v>2411</v>
      </c>
      <c r="B1" s="2"/>
      <c r="C1" s="2"/>
      <c r="D1" s="2"/>
      <c r="E1" s="2"/>
      <c r="F1" s="2"/>
      <c r="G1" s="2"/>
      <c r="H1" s="3">
        <v>45665</v>
      </c>
    </row>
    <row r="3" spans="1:8" x14ac:dyDescent="0.2">
      <c r="A3" s="1" t="s">
        <v>2412</v>
      </c>
      <c r="B3" s="1"/>
      <c r="C3" s="1"/>
      <c r="D3" s="1"/>
      <c r="E3" s="1"/>
      <c r="F3" s="1"/>
      <c r="G3" s="1"/>
      <c r="H3" s="1"/>
    </row>
    <row r="4" spans="1:8" x14ac:dyDescent="0.2">
      <c r="A4" s="1" t="s">
        <v>1446</v>
      </c>
      <c r="B4" s="1"/>
      <c r="C4" s="1"/>
      <c r="D4" s="1"/>
      <c r="E4" s="1"/>
      <c r="F4" s="1"/>
      <c r="G4" s="1"/>
      <c r="H4" s="1"/>
    </row>
    <row r="5" spans="1:8" x14ac:dyDescent="0.2">
      <c r="A5" s="1"/>
      <c r="B5" s="1"/>
      <c r="C5" s="1"/>
      <c r="D5" s="1"/>
      <c r="E5" s="1"/>
      <c r="F5" s="1"/>
      <c r="G5" s="1"/>
      <c r="H5" s="1"/>
    </row>
    <row r="6" spans="1:8" x14ac:dyDescent="0.2">
      <c r="A6" s="4" t="s">
        <v>1447</v>
      </c>
      <c r="B6" s="1"/>
      <c r="C6" s="1"/>
      <c r="D6" s="1"/>
      <c r="E6" s="1"/>
      <c r="F6" s="1"/>
      <c r="G6" s="1"/>
      <c r="H6" s="1"/>
    </row>
    <row r="7" spans="1:8" x14ac:dyDescent="0.2">
      <c r="A7" s="4" t="s">
        <v>1448</v>
      </c>
      <c r="B7" s="1"/>
      <c r="C7" s="1"/>
      <c r="D7" s="1"/>
      <c r="E7" s="1"/>
      <c r="F7" s="1"/>
      <c r="G7" s="1"/>
      <c r="H7" s="1"/>
    </row>
    <row r="8" spans="1:8" ht="17" thickBot="1" x14ac:dyDescent="0.25"/>
    <row r="9" spans="1:8" s="1" customFormat="1" x14ac:dyDescent="0.2">
      <c r="A9" s="70" t="s">
        <v>1445</v>
      </c>
      <c r="B9" s="71"/>
      <c r="C9" s="71"/>
      <c r="D9" s="71"/>
      <c r="E9" s="71"/>
      <c r="F9" s="71"/>
      <c r="G9" s="71"/>
      <c r="H9" s="72"/>
    </row>
    <row r="10" spans="1:8" s="1" customFormat="1" x14ac:dyDescent="0.2">
      <c r="A10" s="64"/>
      <c r="H10" s="42"/>
    </row>
    <row r="11" spans="1:8" s="1" customFormat="1" x14ac:dyDescent="0.2">
      <c r="A11" s="64" t="s">
        <v>360</v>
      </c>
      <c r="B11" s="1" t="s">
        <v>489</v>
      </c>
      <c r="H11" s="42"/>
    </row>
    <row r="12" spans="1:8" s="1" customFormat="1" x14ac:dyDescent="0.2">
      <c r="A12" s="64"/>
      <c r="B12" s="1" t="s">
        <v>1449</v>
      </c>
      <c r="H12" s="42"/>
    </row>
    <row r="13" spans="1:8" s="1" customFormat="1" x14ac:dyDescent="0.2">
      <c r="A13" s="64"/>
      <c r="B13" s="1" t="s">
        <v>2414</v>
      </c>
      <c r="C13" s="1" t="s">
        <v>2413</v>
      </c>
      <c r="D13" s="1" t="s">
        <v>2415</v>
      </c>
      <c r="H13" s="42"/>
    </row>
    <row r="14" spans="1:8" s="1" customFormat="1" x14ac:dyDescent="0.2">
      <c r="A14" s="64"/>
      <c r="B14" s="1" t="s">
        <v>2417</v>
      </c>
      <c r="C14" s="1" t="s">
        <v>2416</v>
      </c>
      <c r="D14" s="1" t="s">
        <v>1450</v>
      </c>
      <c r="H14" s="42"/>
    </row>
    <row r="15" spans="1:8" s="1" customFormat="1" x14ac:dyDescent="0.2">
      <c r="A15" s="64"/>
      <c r="H15" s="42"/>
    </row>
    <row r="16" spans="1:8" s="1" customFormat="1" x14ac:dyDescent="0.2">
      <c r="A16" s="64"/>
      <c r="B16" s="1" t="s">
        <v>1451</v>
      </c>
      <c r="H16" s="42"/>
    </row>
    <row r="17" spans="1:8" s="1" customFormat="1" x14ac:dyDescent="0.2">
      <c r="A17" s="64"/>
      <c r="B17" s="1" t="s">
        <v>1452</v>
      </c>
      <c r="H17" s="42"/>
    </row>
    <row r="18" spans="1:8" s="1" customFormat="1" x14ac:dyDescent="0.2">
      <c r="A18" s="64"/>
      <c r="B18" s="1" t="s">
        <v>1453</v>
      </c>
      <c r="H18" s="42"/>
    </row>
    <row r="19" spans="1:8" s="1" customFormat="1" x14ac:dyDescent="0.2">
      <c r="A19" s="64"/>
      <c r="H19" s="42"/>
    </row>
    <row r="20" spans="1:8" s="1" customFormat="1" x14ac:dyDescent="0.2">
      <c r="A20" s="64" t="s">
        <v>362</v>
      </c>
      <c r="B20" s="1" t="s">
        <v>490</v>
      </c>
      <c r="H20" s="42"/>
    </row>
    <row r="21" spans="1:8" s="1" customFormat="1" x14ac:dyDescent="0.2">
      <c r="A21" s="64"/>
      <c r="H21" s="42"/>
    </row>
    <row r="22" spans="1:8" s="1" customFormat="1" x14ac:dyDescent="0.2">
      <c r="A22" s="64" t="s">
        <v>364</v>
      </c>
      <c r="B22" s="1" t="s">
        <v>2418</v>
      </c>
      <c r="H22" s="42"/>
    </row>
    <row r="23" spans="1:8" s="1" customFormat="1" x14ac:dyDescent="0.2">
      <c r="A23" s="64"/>
      <c r="H23" s="42"/>
    </row>
    <row r="24" spans="1:8" s="1" customFormat="1" ht="17" thickBot="1" x14ac:dyDescent="0.25">
      <c r="A24" s="65" t="s">
        <v>365</v>
      </c>
      <c r="B24" s="44" t="s">
        <v>491</v>
      </c>
      <c r="C24" s="44"/>
      <c r="D24" s="44"/>
      <c r="E24" s="44"/>
      <c r="F24" s="44"/>
      <c r="G24" s="44"/>
      <c r="H24" s="45"/>
    </row>
    <row r="25" spans="1:8" s="1" customFormat="1" ht="17" thickBot="1" x14ac:dyDescent="0.25"/>
    <row r="26" spans="1:8" s="1" customFormat="1" ht="17" thickBot="1" x14ac:dyDescent="0.25">
      <c r="A26" s="50" t="s">
        <v>612</v>
      </c>
      <c r="B26" s="51"/>
      <c r="C26" s="51"/>
      <c r="D26" s="51"/>
      <c r="E26" s="51"/>
      <c r="F26" s="51"/>
      <c r="G26" s="51"/>
      <c r="H26" s="52"/>
    </row>
    <row r="27" spans="1:8" s="1" customFormat="1" x14ac:dyDescent="0.2">
      <c r="A27" s="1" t="s">
        <v>610</v>
      </c>
    </row>
    <row r="28" spans="1:8" s="1" customFormat="1" x14ac:dyDescent="0.2">
      <c r="A28" s="1" t="s">
        <v>509</v>
      </c>
    </row>
    <row r="29" spans="1:8" s="1" customFormat="1" x14ac:dyDescent="0.2">
      <c r="A29" s="1" t="s">
        <v>511</v>
      </c>
    </row>
    <row r="30" spans="1:8" s="1" customFormat="1" x14ac:dyDescent="0.2">
      <c r="A30" s="1" t="s">
        <v>510</v>
      </c>
    </row>
    <row r="31" spans="1:8" s="1" customFormat="1" x14ac:dyDescent="0.2"/>
    <row r="32" spans="1:8" s="1" customFormat="1" x14ac:dyDescent="0.2">
      <c r="A32" s="4" t="s">
        <v>78</v>
      </c>
      <c r="B32" s="1" t="s">
        <v>611</v>
      </c>
    </row>
    <row r="33" spans="1:13" s="1" customFormat="1" x14ac:dyDescent="0.2"/>
    <row r="34" spans="1:13" s="1" customFormat="1" x14ac:dyDescent="0.2">
      <c r="B34" s="32" t="s">
        <v>262</v>
      </c>
      <c r="C34" s="32" t="s">
        <v>262</v>
      </c>
      <c r="D34" s="21" t="s">
        <v>1460</v>
      </c>
    </row>
    <row r="35" spans="1:13" s="1" customFormat="1" x14ac:dyDescent="0.2">
      <c r="B35" s="32" t="s">
        <v>1455</v>
      </c>
      <c r="C35" s="32" t="s">
        <v>1457</v>
      </c>
      <c r="D35" s="21" t="s">
        <v>1461</v>
      </c>
      <c r="I35" s="21" t="s">
        <v>262</v>
      </c>
    </row>
    <row r="36" spans="1:13" s="1" customFormat="1" x14ac:dyDescent="0.2">
      <c r="B36" s="32" t="s">
        <v>1456</v>
      </c>
      <c r="C36" s="32" t="s">
        <v>1458</v>
      </c>
      <c r="D36" s="21" t="s">
        <v>1462</v>
      </c>
      <c r="I36" s="21" t="s">
        <v>213</v>
      </c>
    </row>
    <row r="37" spans="1:13" s="73" customFormat="1" x14ac:dyDescent="0.2">
      <c r="A37" s="81" t="s">
        <v>71</v>
      </c>
      <c r="B37" s="81" t="s">
        <v>1454</v>
      </c>
      <c r="C37" s="81" t="s">
        <v>1459</v>
      </c>
      <c r="D37" s="81" t="s">
        <v>381</v>
      </c>
      <c r="E37" s="32"/>
      <c r="F37" s="32"/>
    </row>
    <row r="38" spans="1:13" s="73" customFormat="1" x14ac:dyDescent="0.2">
      <c r="A38" s="32">
        <v>40</v>
      </c>
      <c r="B38" s="32">
        <f>IF(A38&gt;=150,0,150-A38)-80</f>
        <v>30</v>
      </c>
      <c r="C38" s="32">
        <f>-(IF(A38&gt;=100,0,100-A38)-45)</f>
        <v>-15</v>
      </c>
      <c r="D38" s="32">
        <f>B38+C38</f>
        <v>15</v>
      </c>
      <c r="E38" s="32"/>
      <c r="F38" s="32"/>
      <c r="K38" s="25" t="s">
        <v>1463</v>
      </c>
    </row>
    <row r="39" spans="1:13" s="73" customFormat="1" x14ac:dyDescent="0.2">
      <c r="A39" s="32">
        <f t="shared" ref="A39:A52" si="0">A38+10</f>
        <v>50</v>
      </c>
      <c r="B39" s="32">
        <f t="shared" ref="B39:B52" si="1">IF(A39&gt;=150,0,150-A39)-80</f>
        <v>20</v>
      </c>
      <c r="C39" s="32">
        <f t="shared" ref="C39:C52" si="2">-(IF(A39&gt;=100,0,100-A39)-45)</f>
        <v>-5</v>
      </c>
      <c r="D39" s="32">
        <f t="shared" ref="D39:D52" si="3">B39+C39</f>
        <v>15</v>
      </c>
      <c r="E39" s="32"/>
      <c r="F39" s="32"/>
      <c r="K39" s="25" t="s">
        <v>1464</v>
      </c>
      <c r="L39" s="25"/>
      <c r="M39" s="25"/>
    </row>
    <row r="40" spans="1:13" s="73" customFormat="1" x14ac:dyDescent="0.2">
      <c r="A40" s="32">
        <f t="shared" si="0"/>
        <v>60</v>
      </c>
      <c r="B40" s="32">
        <f t="shared" si="1"/>
        <v>10</v>
      </c>
      <c r="C40" s="32">
        <f t="shared" si="2"/>
        <v>5</v>
      </c>
      <c r="D40" s="32">
        <f t="shared" si="3"/>
        <v>15</v>
      </c>
      <c r="E40" s="32"/>
      <c r="F40" s="32"/>
      <c r="K40" s="25" t="s">
        <v>1465</v>
      </c>
      <c r="L40" s="25"/>
      <c r="M40" s="25"/>
    </row>
    <row r="41" spans="1:13" s="73" customFormat="1" x14ac:dyDescent="0.2">
      <c r="A41" s="32">
        <f t="shared" si="0"/>
        <v>70</v>
      </c>
      <c r="B41" s="32">
        <f t="shared" si="1"/>
        <v>0</v>
      </c>
      <c r="C41" s="32">
        <f t="shared" si="2"/>
        <v>15</v>
      </c>
      <c r="D41" s="32">
        <f t="shared" si="3"/>
        <v>15</v>
      </c>
      <c r="E41" s="32"/>
      <c r="F41" s="32"/>
      <c r="K41" s="25" t="s">
        <v>1466</v>
      </c>
      <c r="L41" s="25"/>
      <c r="M41" s="25"/>
    </row>
    <row r="42" spans="1:13" s="73" customFormat="1" x14ac:dyDescent="0.2">
      <c r="A42" s="32">
        <f t="shared" si="0"/>
        <v>80</v>
      </c>
      <c r="B42" s="32">
        <f t="shared" si="1"/>
        <v>-10</v>
      </c>
      <c r="C42" s="32">
        <f t="shared" si="2"/>
        <v>25</v>
      </c>
      <c r="D42" s="32">
        <f t="shared" si="3"/>
        <v>15</v>
      </c>
      <c r="E42" s="32"/>
      <c r="F42" s="32"/>
      <c r="K42" s="25"/>
      <c r="L42" s="25"/>
      <c r="M42" s="25"/>
    </row>
    <row r="43" spans="1:13" s="73" customFormat="1" x14ac:dyDescent="0.2">
      <c r="A43" s="32">
        <f t="shared" si="0"/>
        <v>90</v>
      </c>
      <c r="B43" s="32">
        <f t="shared" si="1"/>
        <v>-20</v>
      </c>
      <c r="C43" s="32">
        <f t="shared" si="2"/>
        <v>35</v>
      </c>
      <c r="D43" s="32">
        <f t="shared" si="3"/>
        <v>15</v>
      </c>
      <c r="E43" s="32"/>
      <c r="F43" s="32"/>
      <c r="K43" s="25"/>
      <c r="L43" s="25"/>
      <c r="M43" s="25" t="s">
        <v>1468</v>
      </c>
    </row>
    <row r="44" spans="1:13" s="73" customFormat="1" x14ac:dyDescent="0.2">
      <c r="A44" s="197">
        <f t="shared" si="0"/>
        <v>100</v>
      </c>
      <c r="B44" s="32">
        <f t="shared" si="1"/>
        <v>-30</v>
      </c>
      <c r="C44" s="32">
        <f t="shared" si="2"/>
        <v>45</v>
      </c>
      <c r="D44" s="32">
        <f t="shared" si="3"/>
        <v>15</v>
      </c>
      <c r="E44" s="32"/>
      <c r="F44" s="32"/>
      <c r="K44" s="25"/>
      <c r="L44" s="25">
        <v>70</v>
      </c>
      <c r="M44" s="224" t="s">
        <v>1467</v>
      </c>
    </row>
    <row r="45" spans="1:13" s="73" customFormat="1" x14ac:dyDescent="0.2">
      <c r="A45" s="32">
        <f t="shared" si="0"/>
        <v>110</v>
      </c>
      <c r="B45" s="32">
        <f t="shared" si="1"/>
        <v>-40</v>
      </c>
      <c r="C45" s="32">
        <f t="shared" si="2"/>
        <v>45</v>
      </c>
      <c r="D45" s="32">
        <f t="shared" si="3"/>
        <v>5</v>
      </c>
      <c r="E45" s="32"/>
      <c r="F45" s="32"/>
      <c r="K45" s="25"/>
      <c r="L45" s="25"/>
      <c r="M45" s="25"/>
    </row>
    <row r="46" spans="1:13" s="73" customFormat="1" x14ac:dyDescent="0.2">
      <c r="A46" s="32">
        <f t="shared" si="0"/>
        <v>120</v>
      </c>
      <c r="B46" s="32">
        <f t="shared" si="1"/>
        <v>-50</v>
      </c>
      <c r="C46" s="32">
        <f t="shared" si="2"/>
        <v>45</v>
      </c>
      <c r="D46" s="32">
        <f t="shared" si="3"/>
        <v>-5</v>
      </c>
      <c r="E46" s="32"/>
      <c r="F46" s="32"/>
      <c r="K46" s="25"/>
      <c r="L46" s="25"/>
      <c r="M46" s="25" t="s">
        <v>1469</v>
      </c>
    </row>
    <row r="47" spans="1:13" s="73" customFormat="1" x14ac:dyDescent="0.2">
      <c r="A47" s="32">
        <f t="shared" si="0"/>
        <v>130</v>
      </c>
      <c r="B47" s="32">
        <f t="shared" si="1"/>
        <v>-60</v>
      </c>
      <c r="C47" s="32">
        <f t="shared" si="2"/>
        <v>45</v>
      </c>
      <c r="D47" s="32">
        <f t="shared" si="3"/>
        <v>-15</v>
      </c>
      <c r="E47" s="32"/>
      <c r="F47" s="32"/>
      <c r="K47" s="25"/>
      <c r="L47" s="25">
        <f>-(100-0-45)</f>
        <v>-55</v>
      </c>
      <c r="M47" s="224" t="s">
        <v>1470</v>
      </c>
    </row>
    <row r="48" spans="1:13" s="73" customFormat="1" x14ac:dyDescent="0.2">
      <c r="A48" s="32">
        <f t="shared" si="0"/>
        <v>140</v>
      </c>
      <c r="B48" s="32">
        <f t="shared" si="1"/>
        <v>-70</v>
      </c>
      <c r="C48" s="32">
        <f t="shared" si="2"/>
        <v>45</v>
      </c>
      <c r="D48" s="32">
        <f t="shared" si="3"/>
        <v>-25</v>
      </c>
      <c r="E48" s="32"/>
      <c r="F48" s="32"/>
      <c r="K48" s="25"/>
      <c r="L48" s="25"/>
      <c r="M48" s="25"/>
    </row>
    <row r="49" spans="1:13" s="73" customFormat="1" x14ac:dyDescent="0.2">
      <c r="A49" s="82">
        <f t="shared" si="0"/>
        <v>150</v>
      </c>
      <c r="B49" s="32">
        <f t="shared" si="1"/>
        <v>-80</v>
      </c>
      <c r="C49" s="32">
        <f t="shared" si="2"/>
        <v>45</v>
      </c>
      <c r="D49" s="32">
        <f t="shared" si="3"/>
        <v>-35</v>
      </c>
      <c r="E49" s="32"/>
      <c r="F49" s="32"/>
      <c r="K49" s="25"/>
      <c r="L49" s="25"/>
      <c r="M49" s="25" t="s">
        <v>1471</v>
      </c>
    </row>
    <row r="50" spans="1:13" s="73" customFormat="1" x14ac:dyDescent="0.2">
      <c r="A50" s="32">
        <f t="shared" si="0"/>
        <v>160</v>
      </c>
      <c r="B50" s="32">
        <f t="shared" si="1"/>
        <v>-80</v>
      </c>
      <c r="C50" s="32">
        <f t="shared" si="2"/>
        <v>45</v>
      </c>
      <c r="D50" s="32">
        <f t="shared" si="3"/>
        <v>-35</v>
      </c>
      <c r="E50" s="32"/>
      <c r="F50" s="32"/>
      <c r="K50" s="25"/>
      <c r="L50" s="25">
        <v>15</v>
      </c>
      <c r="M50" s="25" t="s">
        <v>1472</v>
      </c>
    </row>
    <row r="51" spans="1:13" s="73" customFormat="1" x14ac:dyDescent="0.2">
      <c r="A51" s="32">
        <f t="shared" si="0"/>
        <v>170</v>
      </c>
      <c r="B51" s="32">
        <f t="shared" si="1"/>
        <v>-80</v>
      </c>
      <c r="C51" s="32">
        <f t="shared" si="2"/>
        <v>45</v>
      </c>
      <c r="D51" s="32">
        <f t="shared" si="3"/>
        <v>-35</v>
      </c>
      <c r="E51" s="32"/>
      <c r="F51" s="32"/>
      <c r="K51" s="25"/>
      <c r="L51" s="25"/>
      <c r="M51" s="25"/>
    </row>
    <row r="52" spans="1:13" s="73" customFormat="1" x14ac:dyDescent="0.2">
      <c r="A52" s="32">
        <f t="shared" si="0"/>
        <v>180</v>
      </c>
      <c r="B52" s="32">
        <f t="shared" si="1"/>
        <v>-80</v>
      </c>
      <c r="C52" s="32">
        <f t="shared" si="2"/>
        <v>45</v>
      </c>
      <c r="D52" s="32">
        <f t="shared" si="3"/>
        <v>-35</v>
      </c>
      <c r="E52" s="32"/>
      <c r="F52" s="32"/>
      <c r="K52" s="25" t="s">
        <v>1473</v>
      </c>
      <c r="L52" s="25"/>
      <c r="M52" s="25"/>
    </row>
    <row r="53" spans="1:13" s="1" customFormat="1" x14ac:dyDescent="0.2">
      <c r="K53" s="1" t="s">
        <v>1474</v>
      </c>
    </row>
    <row r="54" spans="1:13" s="1" customFormat="1" x14ac:dyDescent="0.2">
      <c r="A54" s="4" t="s">
        <v>561</v>
      </c>
      <c r="K54" s="1" t="s">
        <v>1475</v>
      </c>
    </row>
    <row r="55" spans="1:13" s="1" customFormat="1" x14ac:dyDescent="0.2">
      <c r="K55" s="1" t="s">
        <v>1476</v>
      </c>
    </row>
    <row r="56" spans="1:13" s="1" customFormat="1" x14ac:dyDescent="0.2">
      <c r="K56" s="1" t="s">
        <v>1477</v>
      </c>
    </row>
    <row r="57" spans="1:13" s="1" customFormat="1" x14ac:dyDescent="0.2"/>
    <row r="58" spans="1:13" s="1" customFormat="1" x14ac:dyDescent="0.2">
      <c r="G58" s="1" t="s">
        <v>1482</v>
      </c>
      <c r="K58" s="1" t="s">
        <v>1478</v>
      </c>
    </row>
    <row r="59" spans="1:13" s="1" customFormat="1" x14ac:dyDescent="0.2">
      <c r="G59" s="1" t="s">
        <v>1483</v>
      </c>
      <c r="K59" s="1" t="s">
        <v>1479</v>
      </c>
    </row>
    <row r="60" spans="1:13" s="1" customFormat="1" x14ac:dyDescent="0.2">
      <c r="G60" s="1" t="s">
        <v>1484</v>
      </c>
      <c r="K60" s="1" t="s">
        <v>1480</v>
      </c>
    </row>
    <row r="61" spans="1:13" s="1" customFormat="1" x14ac:dyDescent="0.2">
      <c r="G61" s="1" t="s">
        <v>1485</v>
      </c>
      <c r="K61" s="1" t="s">
        <v>1481</v>
      </c>
    </row>
    <row r="62" spans="1:13" s="1" customFormat="1" x14ac:dyDescent="0.2">
      <c r="G62" s="1" t="s">
        <v>1486</v>
      </c>
    </row>
    <row r="63" spans="1:13" s="1" customFormat="1" x14ac:dyDescent="0.2">
      <c r="G63" s="1" t="s">
        <v>1487</v>
      </c>
    </row>
    <row r="64" spans="1:13" s="1" customFormat="1" x14ac:dyDescent="0.2">
      <c r="H64" s="1" t="s">
        <v>1488</v>
      </c>
    </row>
    <row r="65" spans="1:8" s="1" customFormat="1" x14ac:dyDescent="0.2">
      <c r="H65" s="1" t="s">
        <v>1489</v>
      </c>
    </row>
    <row r="66" spans="1:8" s="1" customFormat="1" ht="17" thickBot="1" x14ac:dyDescent="0.25"/>
    <row r="67" spans="1:8" s="1" customFormat="1" ht="17" thickBot="1" x14ac:dyDescent="0.25">
      <c r="A67" s="50" t="s">
        <v>2419</v>
      </c>
      <c r="B67" s="51"/>
      <c r="C67" s="51"/>
      <c r="D67" s="51"/>
      <c r="E67" s="51"/>
      <c r="F67" s="51"/>
      <c r="G67" s="51"/>
      <c r="H67" s="52"/>
    </row>
    <row r="68" spans="1:8" s="1" customFormat="1" x14ac:dyDescent="0.2">
      <c r="A68" s="1" t="s">
        <v>2420</v>
      </c>
    </row>
    <row r="69" spans="1:8" s="1" customFormat="1" x14ac:dyDescent="0.2">
      <c r="A69" s="1" t="s">
        <v>2421</v>
      </c>
    </row>
    <row r="70" spans="1:8" s="1" customFormat="1" x14ac:dyDescent="0.2">
      <c r="A70" s="1" t="s">
        <v>2422</v>
      </c>
    </row>
    <row r="71" spans="1:8" s="1" customFormat="1" x14ac:dyDescent="0.2">
      <c r="A71" s="347" t="s">
        <v>2425</v>
      </c>
      <c r="B71" s="347"/>
      <c r="C71" s="347"/>
      <c r="D71" s="347"/>
      <c r="E71" s="347"/>
      <c r="F71" s="347"/>
      <c r="G71" s="347"/>
      <c r="H71" s="347"/>
    </row>
    <row r="72" spans="1:8" s="1" customFormat="1" x14ac:dyDescent="0.2"/>
    <row r="73" spans="1:8" s="1" customFormat="1" x14ac:dyDescent="0.2">
      <c r="A73" s="1" t="s">
        <v>78</v>
      </c>
      <c r="H73" s="21" t="s">
        <v>262</v>
      </c>
    </row>
    <row r="74" spans="1:8" s="1" customFormat="1" x14ac:dyDescent="0.2"/>
    <row r="75" spans="1:8" s="1" customFormat="1" x14ac:dyDescent="0.2">
      <c r="A75" s="75" t="s">
        <v>71</v>
      </c>
      <c r="B75" s="75" t="s">
        <v>2423</v>
      </c>
      <c r="C75" s="75" t="s">
        <v>2424</v>
      </c>
      <c r="D75" s="75" t="s">
        <v>262</v>
      </c>
    </row>
    <row r="76" spans="1:8" s="1" customFormat="1" x14ac:dyDescent="0.2">
      <c r="A76" s="1">
        <v>20</v>
      </c>
      <c r="B76" s="1">
        <f>100-A76-40</f>
        <v>40</v>
      </c>
      <c r="C76" s="21">
        <f>-(60-A76-10)</f>
        <v>-30</v>
      </c>
      <c r="D76" s="21">
        <f>B76+C76</f>
        <v>10</v>
      </c>
    </row>
    <row r="77" spans="1:8" s="1" customFormat="1" x14ac:dyDescent="0.2">
      <c r="A77" s="1">
        <v>30</v>
      </c>
      <c r="B77" s="1">
        <f t="shared" ref="B77:B83" si="4">100-A77-40</f>
        <v>30</v>
      </c>
      <c r="C77" s="21">
        <f t="shared" ref="C77:C79" si="5">-(60-A77-10)</f>
        <v>-20</v>
      </c>
      <c r="D77" s="21">
        <f t="shared" ref="D77:D87" si="6">B77+C77</f>
        <v>10</v>
      </c>
    </row>
    <row r="78" spans="1:8" s="1" customFormat="1" x14ac:dyDescent="0.2">
      <c r="A78" s="1">
        <v>40</v>
      </c>
      <c r="B78" s="1">
        <f t="shared" si="4"/>
        <v>20</v>
      </c>
      <c r="C78" s="21">
        <f t="shared" si="5"/>
        <v>-10</v>
      </c>
      <c r="D78" s="21">
        <f t="shared" si="6"/>
        <v>10</v>
      </c>
    </row>
    <row r="79" spans="1:8" s="1" customFormat="1" x14ac:dyDescent="0.2">
      <c r="A79" s="1">
        <v>50</v>
      </c>
      <c r="B79" s="1">
        <f t="shared" si="4"/>
        <v>10</v>
      </c>
      <c r="C79" s="21">
        <f t="shared" si="5"/>
        <v>0</v>
      </c>
      <c r="D79" s="21">
        <f t="shared" si="6"/>
        <v>10</v>
      </c>
    </row>
    <row r="80" spans="1:8" s="1" customFormat="1" x14ac:dyDescent="0.2">
      <c r="A80" s="1">
        <v>60</v>
      </c>
      <c r="B80" s="1">
        <f t="shared" si="4"/>
        <v>0</v>
      </c>
      <c r="C80" s="21">
        <v>10</v>
      </c>
      <c r="D80" s="21">
        <f t="shared" si="6"/>
        <v>10</v>
      </c>
      <c r="E80" s="348" t="s">
        <v>71</v>
      </c>
    </row>
    <row r="81" spans="1:5" s="1" customFormat="1" x14ac:dyDescent="0.2">
      <c r="A81" s="1">
        <v>70</v>
      </c>
      <c r="B81" s="1">
        <f t="shared" si="4"/>
        <v>-10</v>
      </c>
      <c r="C81" s="21">
        <f>C80</f>
        <v>10</v>
      </c>
      <c r="D81" s="21">
        <f t="shared" si="6"/>
        <v>0</v>
      </c>
      <c r="E81" s="348"/>
    </row>
    <row r="82" spans="1:5" s="1" customFormat="1" x14ac:dyDescent="0.2">
      <c r="A82" s="1">
        <v>80</v>
      </c>
      <c r="B82" s="1">
        <f t="shared" si="4"/>
        <v>-20</v>
      </c>
      <c r="C82" s="21">
        <f t="shared" ref="C82:C87" si="7">C81</f>
        <v>10</v>
      </c>
      <c r="D82" s="21">
        <f t="shared" si="6"/>
        <v>-10</v>
      </c>
    </row>
    <row r="83" spans="1:5" s="1" customFormat="1" x14ac:dyDescent="0.2">
      <c r="A83" s="1">
        <v>90</v>
      </c>
      <c r="B83" s="1">
        <f t="shared" si="4"/>
        <v>-30</v>
      </c>
      <c r="C83" s="21">
        <f t="shared" si="7"/>
        <v>10</v>
      </c>
      <c r="D83" s="21">
        <f t="shared" si="6"/>
        <v>-20</v>
      </c>
    </row>
    <row r="84" spans="1:5" s="1" customFormat="1" x14ac:dyDescent="0.2">
      <c r="A84" s="1">
        <v>100</v>
      </c>
      <c r="B84" s="1">
        <v>-40</v>
      </c>
      <c r="C84" s="21">
        <f t="shared" si="7"/>
        <v>10</v>
      </c>
      <c r="D84" s="21">
        <f t="shared" si="6"/>
        <v>-30</v>
      </c>
    </row>
    <row r="85" spans="1:5" s="1" customFormat="1" x14ac:dyDescent="0.2">
      <c r="A85" s="1">
        <v>110</v>
      </c>
      <c r="B85" s="1">
        <v>-40</v>
      </c>
      <c r="C85" s="21">
        <f t="shared" si="7"/>
        <v>10</v>
      </c>
      <c r="D85" s="21">
        <f t="shared" si="6"/>
        <v>-30</v>
      </c>
    </row>
    <row r="86" spans="1:5" s="1" customFormat="1" x14ac:dyDescent="0.2">
      <c r="A86" s="1">
        <v>120</v>
      </c>
      <c r="B86" s="1">
        <v>-40</v>
      </c>
      <c r="C86" s="21">
        <f t="shared" si="7"/>
        <v>10</v>
      </c>
      <c r="D86" s="21">
        <f t="shared" si="6"/>
        <v>-30</v>
      </c>
    </row>
    <row r="87" spans="1:5" s="1" customFormat="1" x14ac:dyDescent="0.2">
      <c r="A87" s="1">
        <v>130</v>
      </c>
      <c r="B87" s="1">
        <v>-40</v>
      </c>
      <c r="C87" s="21">
        <f t="shared" si="7"/>
        <v>10</v>
      </c>
      <c r="D87" s="21">
        <f t="shared" si="6"/>
        <v>-30</v>
      </c>
    </row>
    <row r="88" spans="1:5" s="1" customFormat="1" x14ac:dyDescent="0.2"/>
    <row r="89" spans="1:5" s="1" customFormat="1" x14ac:dyDescent="0.2"/>
    <row r="90" spans="1:5" s="1" customFormat="1" x14ac:dyDescent="0.2"/>
    <row r="91" spans="1:5" s="1" customFormat="1" x14ac:dyDescent="0.2"/>
    <row r="92" spans="1:5" s="1" customFormat="1" x14ac:dyDescent="0.2"/>
    <row r="93" spans="1:5" s="1" customFormat="1" x14ac:dyDescent="0.2"/>
    <row r="94" spans="1:5" s="1" customFormat="1" x14ac:dyDescent="0.2"/>
    <row r="95" spans="1:5" s="1" customFormat="1" x14ac:dyDescent="0.2"/>
    <row r="96" spans="1:5" s="1" customFormat="1" x14ac:dyDescent="0.2"/>
    <row r="97" spans="1:11" s="1" customFormat="1" x14ac:dyDescent="0.2"/>
    <row r="98" spans="1:11" s="1" customFormat="1" x14ac:dyDescent="0.2"/>
    <row r="99" spans="1:11" s="1" customFormat="1" x14ac:dyDescent="0.2"/>
    <row r="100" spans="1:11" s="1" customFormat="1" x14ac:dyDescent="0.2"/>
    <row r="101" spans="1:11" s="1" customFormat="1" x14ac:dyDescent="0.2">
      <c r="A101" s="4"/>
    </row>
    <row r="102" spans="1:11" s="1" customFormat="1" x14ac:dyDescent="0.2"/>
    <row r="103" spans="1:11" s="1" customFormat="1" ht="17" thickBot="1" x14ac:dyDescent="0.25"/>
    <row r="104" spans="1:11" s="1" customFormat="1" ht="17" thickBot="1" x14ac:dyDescent="0.25">
      <c r="A104" s="50" t="s">
        <v>613</v>
      </c>
      <c r="B104" s="51"/>
      <c r="C104" s="51"/>
      <c r="D104" s="51"/>
      <c r="E104" s="51"/>
      <c r="F104" s="51"/>
      <c r="G104" s="51"/>
      <c r="H104" s="52"/>
    </row>
    <row r="105" spans="1:11" s="1" customFormat="1" x14ac:dyDescent="0.2">
      <c r="A105" s="1" t="s">
        <v>515</v>
      </c>
    </row>
    <row r="106" spans="1:11" s="1" customFormat="1" x14ac:dyDescent="0.2"/>
    <row r="107" spans="1:11" s="1" customFormat="1" x14ac:dyDescent="0.2">
      <c r="C107" s="21" t="s">
        <v>368</v>
      </c>
      <c r="D107" s="21" t="s">
        <v>514</v>
      </c>
    </row>
    <row r="108" spans="1:11" s="1" customFormat="1" x14ac:dyDescent="0.2">
      <c r="C108" s="21" t="s">
        <v>512</v>
      </c>
      <c r="D108" s="21">
        <v>10</v>
      </c>
    </row>
    <row r="109" spans="1:11" s="1" customFormat="1" x14ac:dyDescent="0.2">
      <c r="C109" s="21" t="s">
        <v>513</v>
      </c>
      <c r="D109" s="21">
        <v>30</v>
      </c>
    </row>
    <row r="110" spans="1:11" s="1" customFormat="1" x14ac:dyDescent="0.2"/>
    <row r="111" spans="1:11" s="1" customFormat="1" x14ac:dyDescent="0.2">
      <c r="A111" s="1" t="s">
        <v>516</v>
      </c>
      <c r="K111" s="1" t="s">
        <v>262</v>
      </c>
    </row>
    <row r="112" spans="1:11" s="1" customFormat="1" x14ac:dyDescent="0.2">
      <c r="A112" s="1" t="s">
        <v>510</v>
      </c>
      <c r="K112" s="1" t="s">
        <v>1494</v>
      </c>
    </row>
    <row r="113" spans="1:6" s="1" customFormat="1" x14ac:dyDescent="0.2"/>
    <row r="114" spans="1:6" s="1" customFormat="1" x14ac:dyDescent="0.2">
      <c r="A114" s="4" t="s">
        <v>78</v>
      </c>
    </row>
    <row r="115" spans="1:6" s="1" customFormat="1" x14ac:dyDescent="0.2">
      <c r="A115" s="4"/>
      <c r="B115" s="21" t="s">
        <v>674</v>
      </c>
      <c r="C115" s="21" t="s">
        <v>1492</v>
      </c>
      <c r="D115" s="21" t="s">
        <v>1493</v>
      </c>
    </row>
    <row r="116" spans="1:6" s="1" customFormat="1" x14ac:dyDescent="0.2">
      <c r="B116" s="21" t="s">
        <v>262</v>
      </c>
      <c r="C116" s="21" t="s">
        <v>262</v>
      </c>
      <c r="D116" s="21" t="s">
        <v>262</v>
      </c>
    </row>
    <row r="117" spans="1:6" s="1" customFormat="1" x14ac:dyDescent="0.2">
      <c r="A117" s="81" t="s">
        <v>71</v>
      </c>
      <c r="B117" s="81" t="s">
        <v>1490</v>
      </c>
      <c r="C117" s="81" t="s">
        <v>1491</v>
      </c>
      <c r="D117" s="81" t="s">
        <v>1250</v>
      </c>
      <c r="E117" s="32"/>
      <c r="F117" s="32"/>
    </row>
    <row r="118" spans="1:6" s="1" customFormat="1" x14ac:dyDescent="0.2">
      <c r="A118" s="82">
        <v>40</v>
      </c>
      <c r="B118" s="32">
        <f>120-A118-30</f>
        <v>50</v>
      </c>
      <c r="C118" s="32">
        <f>-(70-A118-10)</f>
        <v>-20</v>
      </c>
      <c r="D118" s="32">
        <f>B118+C118</f>
        <v>30</v>
      </c>
      <c r="E118" s="32"/>
      <c r="F118" s="32"/>
    </row>
    <row r="119" spans="1:6" s="1" customFormat="1" x14ac:dyDescent="0.2">
      <c r="A119" s="82">
        <f t="shared" ref="A119:A129" si="8">A118+10</f>
        <v>50</v>
      </c>
      <c r="B119" s="32">
        <f t="shared" ref="B119:B125" si="9">120-A119-30</f>
        <v>40</v>
      </c>
      <c r="C119" s="32">
        <f t="shared" ref="C119:C120" si="10">-(70-A119-10)</f>
        <v>-10</v>
      </c>
      <c r="D119" s="32">
        <f t="shared" ref="D119:D129" si="11">B119+C119</f>
        <v>30</v>
      </c>
      <c r="E119" s="32"/>
      <c r="F119" s="32"/>
    </row>
    <row r="120" spans="1:6" s="1" customFormat="1" x14ac:dyDescent="0.2">
      <c r="A120" s="82">
        <f t="shared" si="8"/>
        <v>60</v>
      </c>
      <c r="B120" s="32">
        <f t="shared" si="9"/>
        <v>30</v>
      </c>
      <c r="C120" s="32">
        <f t="shared" si="10"/>
        <v>0</v>
      </c>
      <c r="D120" s="32">
        <f t="shared" si="11"/>
        <v>30</v>
      </c>
      <c r="E120" s="32"/>
      <c r="F120" s="32"/>
    </row>
    <row r="121" spans="1:6" s="1" customFormat="1" x14ac:dyDescent="0.2">
      <c r="A121" s="82">
        <f t="shared" si="8"/>
        <v>70</v>
      </c>
      <c r="B121" s="32">
        <f t="shared" si="9"/>
        <v>20</v>
      </c>
      <c r="C121" s="32">
        <f>-(-10)</f>
        <v>10</v>
      </c>
      <c r="D121" s="32">
        <f t="shared" si="11"/>
        <v>30</v>
      </c>
      <c r="E121" s="32"/>
      <c r="F121" s="32"/>
    </row>
    <row r="122" spans="1:6" s="1" customFormat="1" x14ac:dyDescent="0.2">
      <c r="A122" s="32">
        <f t="shared" si="8"/>
        <v>80</v>
      </c>
      <c r="B122" s="32">
        <f t="shared" si="9"/>
        <v>10</v>
      </c>
      <c r="C122" s="32">
        <f>-(-10)</f>
        <v>10</v>
      </c>
      <c r="D122" s="32">
        <f t="shared" si="11"/>
        <v>20</v>
      </c>
      <c r="E122" s="32"/>
      <c r="F122" s="32"/>
    </row>
    <row r="123" spans="1:6" s="1" customFormat="1" x14ac:dyDescent="0.2">
      <c r="A123" s="32">
        <f t="shared" si="8"/>
        <v>90</v>
      </c>
      <c r="B123" s="32">
        <f t="shared" si="9"/>
        <v>0</v>
      </c>
      <c r="C123" s="32">
        <f t="shared" ref="C123:C129" si="12">-(-10)</f>
        <v>10</v>
      </c>
      <c r="D123" s="32">
        <f t="shared" si="11"/>
        <v>10</v>
      </c>
      <c r="E123" s="32"/>
      <c r="F123" s="32"/>
    </row>
    <row r="124" spans="1:6" s="1" customFormat="1" x14ac:dyDescent="0.2">
      <c r="A124" s="32">
        <f t="shared" si="8"/>
        <v>100</v>
      </c>
      <c r="B124" s="32">
        <f t="shared" si="9"/>
        <v>-10</v>
      </c>
      <c r="C124" s="32">
        <f t="shared" si="12"/>
        <v>10</v>
      </c>
      <c r="D124" s="32">
        <f t="shared" si="11"/>
        <v>0</v>
      </c>
      <c r="E124" s="32"/>
      <c r="F124" s="32" t="s">
        <v>71</v>
      </c>
    </row>
    <row r="125" spans="1:6" s="1" customFormat="1" x14ac:dyDescent="0.2">
      <c r="A125" s="32">
        <f t="shared" si="8"/>
        <v>110</v>
      </c>
      <c r="B125" s="32">
        <f t="shared" si="9"/>
        <v>-20</v>
      </c>
      <c r="C125" s="32">
        <f t="shared" si="12"/>
        <v>10</v>
      </c>
      <c r="D125" s="32">
        <f t="shared" si="11"/>
        <v>-10</v>
      </c>
      <c r="E125" s="32"/>
      <c r="F125" s="32" t="s">
        <v>1495</v>
      </c>
    </row>
    <row r="126" spans="1:6" s="1" customFormat="1" x14ac:dyDescent="0.2">
      <c r="A126" s="32">
        <f t="shared" si="8"/>
        <v>120</v>
      </c>
      <c r="B126" s="32">
        <f>-30</f>
        <v>-30</v>
      </c>
      <c r="C126" s="32">
        <f t="shared" si="12"/>
        <v>10</v>
      </c>
      <c r="D126" s="32">
        <f t="shared" si="11"/>
        <v>-20</v>
      </c>
      <c r="E126" s="32"/>
      <c r="F126" s="32"/>
    </row>
    <row r="127" spans="1:6" s="1" customFormat="1" x14ac:dyDescent="0.2">
      <c r="A127" s="32">
        <f t="shared" si="8"/>
        <v>130</v>
      </c>
      <c r="B127" s="32">
        <f t="shared" ref="B127:B129" si="13">-30</f>
        <v>-30</v>
      </c>
      <c r="C127" s="32">
        <f t="shared" si="12"/>
        <v>10</v>
      </c>
      <c r="D127" s="32">
        <f t="shared" si="11"/>
        <v>-20</v>
      </c>
      <c r="E127" s="32"/>
      <c r="F127" s="32"/>
    </row>
    <row r="128" spans="1:6" s="1" customFormat="1" x14ac:dyDescent="0.2">
      <c r="A128" s="32">
        <f t="shared" si="8"/>
        <v>140</v>
      </c>
      <c r="B128" s="32">
        <f t="shared" si="13"/>
        <v>-30</v>
      </c>
      <c r="C128" s="32">
        <f t="shared" si="12"/>
        <v>10</v>
      </c>
      <c r="D128" s="32">
        <f t="shared" si="11"/>
        <v>-20</v>
      </c>
      <c r="E128" s="32"/>
      <c r="F128" s="32"/>
    </row>
    <row r="129" spans="1:7" s="1" customFormat="1" x14ac:dyDescent="0.2">
      <c r="A129" s="32">
        <f t="shared" si="8"/>
        <v>150</v>
      </c>
      <c r="B129" s="32">
        <f t="shared" si="13"/>
        <v>-30</v>
      </c>
      <c r="C129" s="32">
        <f t="shared" si="12"/>
        <v>10</v>
      </c>
      <c r="D129" s="32">
        <f t="shared" si="11"/>
        <v>-20</v>
      </c>
      <c r="E129" s="32"/>
      <c r="F129" s="32"/>
    </row>
    <row r="130" spans="1:7" s="1" customFormat="1" x14ac:dyDescent="0.2"/>
    <row r="131" spans="1:7" s="1" customFormat="1" x14ac:dyDescent="0.2">
      <c r="A131" s="4" t="s">
        <v>561</v>
      </c>
    </row>
    <row r="132" spans="1:7" s="1" customFormat="1" x14ac:dyDescent="0.2"/>
    <row r="133" spans="1:7" s="1" customFormat="1" x14ac:dyDescent="0.2"/>
    <row r="134" spans="1:7" s="1" customFormat="1" x14ac:dyDescent="0.2">
      <c r="F134" s="1" t="s">
        <v>1496</v>
      </c>
    </row>
    <row r="135" spans="1:7" s="1" customFormat="1" x14ac:dyDescent="0.2">
      <c r="F135" s="1" t="s">
        <v>1497</v>
      </c>
      <c r="G135" s="1" t="s">
        <v>1498</v>
      </c>
    </row>
    <row r="136" spans="1:7" s="1" customFormat="1" x14ac:dyDescent="0.2">
      <c r="G136" s="1" t="s">
        <v>1499</v>
      </c>
    </row>
    <row r="137" spans="1:7" s="1" customFormat="1" x14ac:dyDescent="0.2">
      <c r="G137" s="1" t="s">
        <v>1500</v>
      </c>
    </row>
    <row r="138" spans="1:7" s="1" customFormat="1" x14ac:dyDescent="0.2">
      <c r="F138" s="1" t="s">
        <v>1501</v>
      </c>
      <c r="G138" s="1" t="s">
        <v>1502</v>
      </c>
    </row>
    <row r="139" spans="1:7" s="1" customFormat="1" x14ac:dyDescent="0.2">
      <c r="G139" s="1" t="s">
        <v>1503</v>
      </c>
    </row>
    <row r="140" spans="1:7" s="1" customFormat="1" x14ac:dyDescent="0.2">
      <c r="F140" s="1" t="s">
        <v>1504</v>
      </c>
      <c r="G140" s="1" t="s">
        <v>1505</v>
      </c>
    </row>
    <row r="141" spans="1:7" s="1" customFormat="1" x14ac:dyDescent="0.2">
      <c r="G141" s="1" t="s">
        <v>1506</v>
      </c>
    </row>
    <row r="142" spans="1:7" s="1" customFormat="1" x14ac:dyDescent="0.2">
      <c r="A142" s="4"/>
      <c r="F142" s="1" t="s">
        <v>1507</v>
      </c>
      <c r="G142" s="1" t="s">
        <v>1508</v>
      </c>
    </row>
    <row r="143" spans="1:7" s="1" customFormat="1" x14ac:dyDescent="0.2">
      <c r="G143" s="1" t="s">
        <v>1509</v>
      </c>
    </row>
    <row r="144" spans="1:7" s="1" customFormat="1" x14ac:dyDescent="0.2">
      <c r="G144" s="1" t="s">
        <v>1510</v>
      </c>
    </row>
    <row r="145" spans="1:8" s="1" customFormat="1" x14ac:dyDescent="0.2"/>
    <row r="146" spans="1:8" s="1" customFormat="1" ht="17" thickBot="1" x14ac:dyDescent="0.25"/>
    <row r="147" spans="1:8" s="1" customFormat="1" ht="17" thickBot="1" x14ac:dyDescent="0.25">
      <c r="A147" s="50" t="s">
        <v>617</v>
      </c>
      <c r="B147" s="51"/>
      <c r="C147" s="51"/>
      <c r="D147" s="51"/>
      <c r="E147" s="51"/>
      <c r="F147" s="51"/>
      <c r="G147" s="51"/>
      <c r="H147" s="52"/>
    </row>
    <row r="148" spans="1:8" s="1" customFormat="1" x14ac:dyDescent="0.2"/>
    <row r="149" spans="1:8" s="1" customFormat="1" x14ac:dyDescent="0.2">
      <c r="A149" s="1" t="s">
        <v>515</v>
      </c>
    </row>
    <row r="150" spans="1:8" s="1" customFormat="1" x14ac:dyDescent="0.2"/>
    <row r="151" spans="1:8" s="1" customFormat="1" x14ac:dyDescent="0.2">
      <c r="C151" s="21" t="s">
        <v>368</v>
      </c>
      <c r="D151" s="21" t="s">
        <v>514</v>
      </c>
    </row>
    <row r="152" spans="1:8" s="1" customFormat="1" x14ac:dyDescent="0.2">
      <c r="C152" s="21" t="s">
        <v>620</v>
      </c>
      <c r="D152" s="21">
        <v>10</v>
      </c>
    </row>
    <row r="153" spans="1:8" s="1" customFormat="1" x14ac:dyDescent="0.2">
      <c r="C153" s="21" t="s">
        <v>622</v>
      </c>
      <c r="D153" s="21">
        <v>25</v>
      </c>
    </row>
    <row r="154" spans="1:8" s="1" customFormat="1" x14ac:dyDescent="0.2">
      <c r="C154" s="21" t="s">
        <v>621</v>
      </c>
      <c r="D154" s="21">
        <v>30</v>
      </c>
    </row>
    <row r="155" spans="1:8" s="1" customFormat="1" x14ac:dyDescent="0.2">
      <c r="C155" s="21" t="s">
        <v>502</v>
      </c>
      <c r="D155" s="21">
        <v>8</v>
      </c>
    </row>
    <row r="156" spans="1:8" s="1" customFormat="1" x14ac:dyDescent="0.2"/>
    <row r="157" spans="1:8" s="1" customFormat="1" x14ac:dyDescent="0.2">
      <c r="A157" s="1" t="s">
        <v>627</v>
      </c>
    </row>
    <row r="158" spans="1:8" s="1" customFormat="1" x14ac:dyDescent="0.2">
      <c r="A158" s="1" t="s">
        <v>510</v>
      </c>
    </row>
    <row r="159" spans="1:8" s="1" customFormat="1" x14ac:dyDescent="0.2"/>
    <row r="160" spans="1:8" s="1" customFormat="1" x14ac:dyDescent="0.2">
      <c r="A160" s="4" t="s">
        <v>78</v>
      </c>
    </row>
    <row r="161" spans="1:6" s="1" customFormat="1" x14ac:dyDescent="0.2"/>
    <row r="162" spans="1:6" s="1" customFormat="1" x14ac:dyDescent="0.2">
      <c r="A162" s="81" t="s">
        <v>71</v>
      </c>
      <c r="B162" s="81" t="s">
        <v>623</v>
      </c>
      <c r="C162" s="81" t="s">
        <v>624</v>
      </c>
      <c r="D162" s="81" t="s">
        <v>625</v>
      </c>
      <c r="E162" s="81" t="s">
        <v>626</v>
      </c>
      <c r="F162" s="81" t="s">
        <v>381</v>
      </c>
    </row>
    <row r="163" spans="1:6" s="1" customFormat="1" x14ac:dyDescent="0.2">
      <c r="A163" s="32">
        <v>50</v>
      </c>
      <c r="B163" s="32">
        <f>130-A163</f>
        <v>80</v>
      </c>
      <c r="C163" s="32">
        <f>-(85-A163)</f>
        <v>-35</v>
      </c>
      <c r="D163" s="32">
        <f>B163-30</f>
        <v>50</v>
      </c>
      <c r="E163" s="32">
        <f>C163+10</f>
        <v>-25</v>
      </c>
      <c r="F163" s="32">
        <f t="shared" ref="F163:F173" si="14">D163+E163</f>
        <v>25</v>
      </c>
    </row>
    <row r="164" spans="1:6" s="1" customFormat="1" x14ac:dyDescent="0.2">
      <c r="A164" s="32">
        <f t="shared" ref="A164:A173" si="15">A163+10</f>
        <v>60</v>
      </c>
      <c r="B164" s="32">
        <f t="shared" ref="B164:B170" si="16">130-A164</f>
        <v>70</v>
      </c>
      <c r="C164" s="32">
        <f t="shared" ref="C164:C166" si="17">-(85-A164)</f>
        <v>-25</v>
      </c>
      <c r="D164" s="32">
        <f t="shared" ref="D164:D173" si="18">B164-30</f>
        <v>40</v>
      </c>
      <c r="E164" s="32">
        <f t="shared" ref="E164:E173" si="19">C164+10</f>
        <v>-15</v>
      </c>
      <c r="F164" s="32">
        <f t="shared" si="14"/>
        <v>25</v>
      </c>
    </row>
    <row r="165" spans="1:6" s="1" customFormat="1" x14ac:dyDescent="0.2">
      <c r="A165" s="32">
        <f t="shared" si="15"/>
        <v>70</v>
      </c>
      <c r="B165" s="32">
        <f t="shared" si="16"/>
        <v>60</v>
      </c>
      <c r="C165" s="32">
        <f t="shared" si="17"/>
        <v>-15</v>
      </c>
      <c r="D165" s="32">
        <f t="shared" si="18"/>
        <v>30</v>
      </c>
      <c r="E165" s="32">
        <f>C165+10</f>
        <v>-5</v>
      </c>
      <c r="F165" s="32">
        <f t="shared" si="14"/>
        <v>25</v>
      </c>
    </row>
    <row r="166" spans="1:6" s="1" customFormat="1" x14ac:dyDescent="0.2">
      <c r="A166" s="32">
        <f t="shared" si="15"/>
        <v>80</v>
      </c>
      <c r="B166" s="32">
        <f t="shared" si="16"/>
        <v>50</v>
      </c>
      <c r="C166" s="32">
        <f t="shared" si="17"/>
        <v>-5</v>
      </c>
      <c r="D166" s="32">
        <f t="shared" si="18"/>
        <v>20</v>
      </c>
      <c r="E166" s="32">
        <f>C166+10</f>
        <v>5</v>
      </c>
      <c r="F166" s="32">
        <f t="shared" si="14"/>
        <v>25</v>
      </c>
    </row>
    <row r="167" spans="1:6" s="1" customFormat="1" x14ac:dyDescent="0.2">
      <c r="A167" s="32">
        <f t="shared" si="15"/>
        <v>90</v>
      </c>
      <c r="B167" s="32">
        <f t="shared" si="16"/>
        <v>40</v>
      </c>
      <c r="C167" s="32">
        <v>0</v>
      </c>
      <c r="D167" s="32">
        <f t="shared" si="18"/>
        <v>10</v>
      </c>
      <c r="E167" s="32">
        <f>C167+10</f>
        <v>10</v>
      </c>
      <c r="F167" s="32">
        <f t="shared" si="14"/>
        <v>20</v>
      </c>
    </row>
    <row r="168" spans="1:6" s="1" customFormat="1" x14ac:dyDescent="0.2">
      <c r="A168" s="32">
        <f t="shared" si="15"/>
        <v>100</v>
      </c>
      <c r="B168" s="32">
        <f t="shared" si="16"/>
        <v>30</v>
      </c>
      <c r="C168" s="32">
        <v>0</v>
      </c>
      <c r="D168" s="32">
        <f t="shared" si="18"/>
        <v>0</v>
      </c>
      <c r="E168" s="32">
        <f t="shared" si="19"/>
        <v>10</v>
      </c>
      <c r="F168" s="32">
        <f t="shared" si="14"/>
        <v>10</v>
      </c>
    </row>
    <row r="169" spans="1:6" s="1" customFormat="1" x14ac:dyDescent="0.2">
      <c r="A169" s="32">
        <f t="shared" si="15"/>
        <v>110</v>
      </c>
      <c r="B169" s="32">
        <f t="shared" si="16"/>
        <v>20</v>
      </c>
      <c r="C169" s="32">
        <v>0</v>
      </c>
      <c r="D169" s="32">
        <f>B169-30</f>
        <v>-10</v>
      </c>
      <c r="E169" s="32">
        <f t="shared" si="19"/>
        <v>10</v>
      </c>
      <c r="F169" s="32">
        <f t="shared" si="14"/>
        <v>0</v>
      </c>
    </row>
    <row r="170" spans="1:6" s="1" customFormat="1" x14ac:dyDescent="0.2">
      <c r="A170" s="32">
        <f t="shared" si="15"/>
        <v>120</v>
      </c>
      <c r="B170" s="32">
        <f t="shared" si="16"/>
        <v>10</v>
      </c>
      <c r="C170" s="32">
        <v>0</v>
      </c>
      <c r="D170" s="32">
        <f t="shared" si="18"/>
        <v>-20</v>
      </c>
      <c r="E170" s="32">
        <f t="shared" si="19"/>
        <v>10</v>
      </c>
      <c r="F170" s="32">
        <f t="shared" si="14"/>
        <v>-10</v>
      </c>
    </row>
    <row r="171" spans="1:6" s="1" customFormat="1" x14ac:dyDescent="0.2">
      <c r="A171" s="32">
        <f t="shared" si="15"/>
        <v>130</v>
      </c>
      <c r="B171" s="32">
        <v>0</v>
      </c>
      <c r="C171" s="32">
        <v>0</v>
      </c>
      <c r="D171" s="32">
        <f t="shared" si="18"/>
        <v>-30</v>
      </c>
      <c r="E171" s="32">
        <f t="shared" si="19"/>
        <v>10</v>
      </c>
      <c r="F171" s="32">
        <f t="shared" si="14"/>
        <v>-20</v>
      </c>
    </row>
    <row r="172" spans="1:6" s="1" customFormat="1" x14ac:dyDescent="0.2">
      <c r="A172" s="32">
        <f t="shared" si="15"/>
        <v>140</v>
      </c>
      <c r="B172" s="32">
        <v>0</v>
      </c>
      <c r="C172" s="32">
        <v>0</v>
      </c>
      <c r="D172" s="32">
        <f t="shared" si="18"/>
        <v>-30</v>
      </c>
      <c r="E172" s="32">
        <f t="shared" si="19"/>
        <v>10</v>
      </c>
      <c r="F172" s="32">
        <f t="shared" si="14"/>
        <v>-20</v>
      </c>
    </row>
    <row r="173" spans="1:6" s="1" customFormat="1" x14ac:dyDescent="0.2">
      <c r="A173" s="32">
        <f t="shared" si="15"/>
        <v>150</v>
      </c>
      <c r="B173" s="32">
        <v>0</v>
      </c>
      <c r="C173" s="32">
        <v>0</v>
      </c>
      <c r="D173" s="32">
        <f t="shared" si="18"/>
        <v>-30</v>
      </c>
      <c r="E173" s="32">
        <f t="shared" si="19"/>
        <v>10</v>
      </c>
      <c r="F173" s="32">
        <f t="shared" si="14"/>
        <v>-20</v>
      </c>
    </row>
    <row r="174" spans="1:6" s="1" customFormat="1" x14ac:dyDescent="0.2"/>
    <row r="175" spans="1:6" s="1" customFormat="1" x14ac:dyDescent="0.2">
      <c r="A175" s="4" t="s">
        <v>561</v>
      </c>
    </row>
    <row r="176" spans="1:6" s="1" customFormat="1" x14ac:dyDescent="0.2"/>
    <row r="177" spans="1:8" s="1" customFormat="1" x14ac:dyDescent="0.2">
      <c r="G177" s="1" t="s">
        <v>614</v>
      </c>
    </row>
    <row r="178" spans="1:8" x14ac:dyDescent="0.2">
      <c r="A178" s="1"/>
      <c r="B178" s="1"/>
      <c r="C178" s="1"/>
      <c r="D178" s="1"/>
      <c r="E178" s="1"/>
      <c r="F178" s="1"/>
      <c r="G178" s="1" t="s">
        <v>628</v>
      </c>
      <c r="H178" s="1"/>
    </row>
    <row r="179" spans="1:8" x14ac:dyDescent="0.2">
      <c r="A179" s="1"/>
      <c r="B179" s="1"/>
      <c r="C179" s="1"/>
      <c r="D179" s="1"/>
      <c r="E179" s="1"/>
      <c r="F179" s="1"/>
      <c r="G179" s="1"/>
      <c r="H179" s="1"/>
    </row>
    <row r="180" spans="1:8" x14ac:dyDescent="0.2">
      <c r="A180" s="1"/>
      <c r="B180" s="1"/>
      <c r="C180" s="1"/>
      <c r="D180" s="1"/>
      <c r="E180" s="1"/>
      <c r="F180" s="1"/>
      <c r="G180" s="1" t="s">
        <v>615</v>
      </c>
      <c r="H180" s="1"/>
    </row>
    <row r="181" spans="1:8" x14ac:dyDescent="0.2">
      <c r="A181" s="1"/>
      <c r="B181" s="1"/>
      <c r="C181" s="1"/>
      <c r="D181" s="1"/>
      <c r="E181" s="1"/>
      <c r="F181" s="1"/>
      <c r="G181" s="1" t="s">
        <v>629</v>
      </c>
      <c r="H181" s="1"/>
    </row>
    <row r="182" spans="1:8" x14ac:dyDescent="0.2">
      <c r="A182" s="1"/>
      <c r="B182" s="1"/>
      <c r="C182" s="1"/>
      <c r="D182" s="1"/>
      <c r="E182" s="1"/>
      <c r="F182" s="1"/>
      <c r="G182" s="1"/>
      <c r="H182" s="1"/>
    </row>
    <row r="183" spans="1:8" x14ac:dyDescent="0.2">
      <c r="A183" s="1"/>
      <c r="B183" s="1"/>
      <c r="C183" s="1"/>
      <c r="D183" s="1"/>
      <c r="E183" s="1"/>
      <c r="F183" s="1"/>
      <c r="G183" s="1" t="s">
        <v>616</v>
      </c>
      <c r="H183" s="1"/>
    </row>
    <row r="184" spans="1:8" x14ac:dyDescent="0.2">
      <c r="A184" s="1"/>
      <c r="B184" s="1"/>
      <c r="C184" s="1"/>
      <c r="D184" s="1"/>
      <c r="E184" s="1"/>
      <c r="F184" s="1"/>
      <c r="G184" s="1"/>
      <c r="H184" s="1"/>
    </row>
    <row r="185" spans="1:8" x14ac:dyDescent="0.2">
      <c r="A185" s="1"/>
      <c r="B185" s="1"/>
      <c r="C185" s="1"/>
      <c r="D185" s="1"/>
      <c r="E185" s="1"/>
      <c r="F185" s="1"/>
      <c r="G185" s="1"/>
      <c r="H185" s="1"/>
    </row>
    <row r="186" spans="1:8" x14ac:dyDescent="0.2">
      <c r="A186" s="4"/>
      <c r="B186" s="1"/>
      <c r="C186" s="1"/>
      <c r="D186" s="1"/>
      <c r="E186" s="1"/>
      <c r="F186" s="1"/>
      <c r="G186" s="1"/>
      <c r="H186" s="1"/>
    </row>
    <row r="187" spans="1:8" x14ac:dyDescent="0.2">
      <c r="A187" s="1"/>
      <c r="B187" s="1"/>
      <c r="C187" s="1"/>
      <c r="D187" s="1"/>
      <c r="E187" s="1"/>
      <c r="F187" s="1"/>
      <c r="G187" s="1"/>
      <c r="H187" s="1"/>
    </row>
    <row r="188" spans="1:8" x14ac:dyDescent="0.2">
      <c r="A188" s="1"/>
      <c r="B188" s="1"/>
      <c r="C188" s="1"/>
      <c r="D188" s="1"/>
      <c r="E188" s="1"/>
      <c r="F188" s="1"/>
      <c r="G188" s="1"/>
      <c r="H188" s="1"/>
    </row>
    <row r="189" spans="1:8" x14ac:dyDescent="0.2">
      <c r="A189" s="1"/>
      <c r="B189" s="1"/>
      <c r="C189" s="1"/>
      <c r="D189" s="1"/>
      <c r="E189" s="1"/>
      <c r="F189" s="1"/>
      <c r="G189" s="1"/>
      <c r="H189" s="1"/>
    </row>
    <row r="192" spans="1:8" ht="17" thickBot="1" x14ac:dyDescent="0.25"/>
    <row r="193" spans="1:8" s="1" customFormat="1" ht="17" thickBot="1" x14ac:dyDescent="0.25">
      <c r="A193" s="50" t="s">
        <v>618</v>
      </c>
      <c r="B193" s="51"/>
      <c r="C193" s="51"/>
      <c r="D193" s="51"/>
      <c r="E193" s="51"/>
      <c r="F193" s="51"/>
      <c r="G193" s="51"/>
      <c r="H193" s="52"/>
    </row>
    <row r="194" spans="1:8" s="1" customFormat="1" x14ac:dyDescent="0.2"/>
    <row r="195" spans="1:8" s="1" customFormat="1" x14ac:dyDescent="0.2">
      <c r="A195" s="1" t="s">
        <v>515</v>
      </c>
    </row>
    <row r="196" spans="1:8" s="1" customFormat="1" x14ac:dyDescent="0.2"/>
    <row r="197" spans="1:8" s="1" customFormat="1" x14ac:dyDescent="0.2">
      <c r="C197" s="21" t="s">
        <v>368</v>
      </c>
      <c r="D197" s="21" t="s">
        <v>514</v>
      </c>
    </row>
    <row r="198" spans="1:8" s="1" customFormat="1" x14ac:dyDescent="0.2">
      <c r="C198" s="21" t="s">
        <v>502</v>
      </c>
      <c r="D198" s="21">
        <v>10</v>
      </c>
    </row>
    <row r="199" spans="1:8" s="1" customFormat="1" x14ac:dyDescent="0.2">
      <c r="C199" s="21" t="s">
        <v>630</v>
      </c>
      <c r="D199" s="21">
        <v>30</v>
      </c>
    </row>
    <row r="200" spans="1:8" s="1" customFormat="1" x14ac:dyDescent="0.2">
      <c r="C200" s="21" t="s">
        <v>387</v>
      </c>
      <c r="D200" s="21">
        <v>5</v>
      </c>
    </row>
    <row r="201" spans="1:8" s="1" customFormat="1" x14ac:dyDescent="0.2">
      <c r="C201" s="21" t="s">
        <v>371</v>
      </c>
      <c r="D201" s="21">
        <v>20</v>
      </c>
    </row>
    <row r="202" spans="1:8" s="1" customFormat="1" x14ac:dyDescent="0.2"/>
    <row r="203" spans="1:8" s="1" customFormat="1" x14ac:dyDescent="0.2">
      <c r="A203" s="1" t="s">
        <v>619</v>
      </c>
    </row>
    <row r="204" spans="1:8" s="1" customFormat="1" x14ac:dyDescent="0.2">
      <c r="A204" s="1" t="s">
        <v>510</v>
      </c>
    </row>
    <row r="205" spans="1:8" s="1" customFormat="1" x14ac:dyDescent="0.2"/>
    <row r="206" spans="1:8" s="1" customFormat="1" x14ac:dyDescent="0.2">
      <c r="A206" s="4" t="s">
        <v>78</v>
      </c>
    </row>
    <row r="207" spans="1:8" s="1" customFormat="1" x14ac:dyDescent="0.2"/>
    <row r="208" spans="1:8" s="1" customFormat="1" x14ac:dyDescent="0.2">
      <c r="A208" s="81" t="s">
        <v>71</v>
      </c>
      <c r="B208" s="81" t="s">
        <v>631</v>
      </c>
      <c r="C208" s="81" t="s">
        <v>632</v>
      </c>
      <c r="D208" s="81" t="s">
        <v>633</v>
      </c>
      <c r="E208" s="81" t="s">
        <v>634</v>
      </c>
      <c r="F208" s="81" t="s">
        <v>381</v>
      </c>
    </row>
    <row r="209" spans="1:8" s="1" customFormat="1" x14ac:dyDescent="0.2">
      <c r="A209" s="32">
        <v>0</v>
      </c>
      <c r="B209" s="32">
        <f>50-A209</f>
        <v>50</v>
      </c>
      <c r="C209" s="32">
        <f>-(30-A209)</f>
        <v>-30</v>
      </c>
      <c r="D209" s="32">
        <f>B209-20</f>
        <v>30</v>
      </c>
      <c r="E209" s="32">
        <f>C209+5</f>
        <v>-25</v>
      </c>
      <c r="F209" s="32">
        <f>D209+E209</f>
        <v>5</v>
      </c>
    </row>
    <row r="210" spans="1:8" s="1" customFormat="1" x14ac:dyDescent="0.2">
      <c r="A210" s="32">
        <f t="shared" ref="A210:A219" si="20">A209+10</f>
        <v>10</v>
      </c>
      <c r="B210" s="32">
        <f t="shared" ref="B210:B213" si="21">50-A210</f>
        <v>40</v>
      </c>
      <c r="C210" s="32">
        <f t="shared" ref="C210:C212" si="22">-(30-A210)</f>
        <v>-20</v>
      </c>
      <c r="D210" s="32">
        <f t="shared" ref="D210:D219" si="23">B210-20</f>
        <v>20</v>
      </c>
      <c r="E210" s="32">
        <f t="shared" ref="E210:E219" si="24">C210+5</f>
        <v>-15</v>
      </c>
      <c r="F210" s="32">
        <f t="shared" ref="F210:F219" si="25">D210+E210</f>
        <v>5</v>
      </c>
    </row>
    <row r="211" spans="1:8" s="1" customFormat="1" x14ac:dyDescent="0.2">
      <c r="A211" s="32">
        <f t="shared" si="20"/>
        <v>20</v>
      </c>
      <c r="B211" s="32">
        <f t="shared" si="21"/>
        <v>30</v>
      </c>
      <c r="C211" s="32">
        <f t="shared" si="22"/>
        <v>-10</v>
      </c>
      <c r="D211" s="32">
        <f t="shared" si="23"/>
        <v>10</v>
      </c>
      <c r="E211" s="32">
        <f t="shared" si="24"/>
        <v>-5</v>
      </c>
      <c r="F211" s="32">
        <f t="shared" si="25"/>
        <v>5</v>
      </c>
    </row>
    <row r="212" spans="1:8" s="1" customFormat="1" x14ac:dyDescent="0.2">
      <c r="A212" s="32">
        <f t="shared" si="20"/>
        <v>30</v>
      </c>
      <c r="B212" s="32">
        <f t="shared" si="21"/>
        <v>20</v>
      </c>
      <c r="C212" s="32">
        <f t="shared" si="22"/>
        <v>0</v>
      </c>
      <c r="D212" s="32">
        <f t="shared" si="23"/>
        <v>0</v>
      </c>
      <c r="E212" s="32">
        <f t="shared" si="24"/>
        <v>5</v>
      </c>
      <c r="F212" s="32">
        <f t="shared" si="25"/>
        <v>5</v>
      </c>
    </row>
    <row r="213" spans="1:8" s="1" customFormat="1" x14ac:dyDescent="0.2">
      <c r="A213" s="32">
        <f t="shared" si="20"/>
        <v>40</v>
      </c>
      <c r="B213" s="32">
        <f t="shared" si="21"/>
        <v>10</v>
      </c>
      <c r="C213" s="32">
        <v>0</v>
      </c>
      <c r="D213" s="32">
        <f t="shared" si="23"/>
        <v>-10</v>
      </c>
      <c r="E213" s="32">
        <f t="shared" si="24"/>
        <v>5</v>
      </c>
      <c r="F213" s="32">
        <f t="shared" si="25"/>
        <v>-5</v>
      </c>
    </row>
    <row r="214" spans="1:8" s="1" customFormat="1" x14ac:dyDescent="0.2">
      <c r="A214" s="32">
        <f t="shared" si="20"/>
        <v>50</v>
      </c>
      <c r="B214" s="32">
        <v>0</v>
      </c>
      <c r="C214" s="32">
        <v>0</v>
      </c>
      <c r="D214" s="32">
        <f t="shared" si="23"/>
        <v>-20</v>
      </c>
      <c r="E214" s="32">
        <f t="shared" si="24"/>
        <v>5</v>
      </c>
      <c r="F214" s="32">
        <f t="shared" si="25"/>
        <v>-15</v>
      </c>
    </row>
    <row r="215" spans="1:8" s="1" customFormat="1" x14ac:dyDescent="0.2">
      <c r="A215" s="32">
        <f t="shared" si="20"/>
        <v>60</v>
      </c>
      <c r="B215" s="32">
        <v>0</v>
      </c>
      <c r="C215" s="32">
        <v>0</v>
      </c>
      <c r="D215" s="32">
        <f t="shared" si="23"/>
        <v>-20</v>
      </c>
      <c r="E215" s="32">
        <f t="shared" si="24"/>
        <v>5</v>
      </c>
      <c r="F215" s="32">
        <f t="shared" si="25"/>
        <v>-15</v>
      </c>
    </row>
    <row r="216" spans="1:8" s="1" customFormat="1" x14ac:dyDescent="0.2">
      <c r="A216" s="32">
        <f t="shared" si="20"/>
        <v>70</v>
      </c>
      <c r="B216" s="32">
        <v>0</v>
      </c>
      <c r="C216" s="32">
        <v>0</v>
      </c>
      <c r="D216" s="32">
        <f t="shared" si="23"/>
        <v>-20</v>
      </c>
      <c r="E216" s="32">
        <f t="shared" si="24"/>
        <v>5</v>
      </c>
      <c r="F216" s="32">
        <f t="shared" si="25"/>
        <v>-15</v>
      </c>
    </row>
    <row r="217" spans="1:8" s="1" customFormat="1" x14ac:dyDescent="0.2">
      <c r="A217" s="32">
        <f t="shared" si="20"/>
        <v>80</v>
      </c>
      <c r="B217" s="32">
        <v>0</v>
      </c>
      <c r="C217" s="32">
        <v>0</v>
      </c>
      <c r="D217" s="32">
        <f t="shared" si="23"/>
        <v>-20</v>
      </c>
      <c r="E217" s="32">
        <f t="shared" si="24"/>
        <v>5</v>
      </c>
      <c r="F217" s="32">
        <f t="shared" si="25"/>
        <v>-15</v>
      </c>
    </row>
    <row r="218" spans="1:8" s="1" customFormat="1" x14ac:dyDescent="0.2">
      <c r="A218" s="32">
        <f t="shared" si="20"/>
        <v>90</v>
      </c>
      <c r="B218" s="32">
        <v>0</v>
      </c>
      <c r="C218" s="32">
        <v>0</v>
      </c>
      <c r="D218" s="32">
        <f t="shared" si="23"/>
        <v>-20</v>
      </c>
      <c r="E218" s="32">
        <f t="shared" si="24"/>
        <v>5</v>
      </c>
      <c r="F218" s="32">
        <f t="shared" si="25"/>
        <v>-15</v>
      </c>
    </row>
    <row r="219" spans="1:8" s="1" customFormat="1" x14ac:dyDescent="0.2">
      <c r="A219" s="32">
        <f t="shared" si="20"/>
        <v>100</v>
      </c>
      <c r="B219" s="32">
        <v>0</v>
      </c>
      <c r="C219" s="32">
        <v>0</v>
      </c>
      <c r="D219" s="32">
        <f t="shared" si="23"/>
        <v>-20</v>
      </c>
      <c r="E219" s="32">
        <f t="shared" si="24"/>
        <v>5</v>
      </c>
      <c r="F219" s="32">
        <f t="shared" si="25"/>
        <v>-15</v>
      </c>
    </row>
    <row r="220" spans="1:8" s="1" customFormat="1" x14ac:dyDescent="0.2"/>
    <row r="221" spans="1:8" s="1" customFormat="1" x14ac:dyDescent="0.2">
      <c r="A221" s="4" t="s">
        <v>561</v>
      </c>
    </row>
    <row r="222" spans="1:8" s="1" customFormat="1" x14ac:dyDescent="0.2"/>
    <row r="223" spans="1:8" s="1" customFormat="1" x14ac:dyDescent="0.2">
      <c r="G223" s="1" t="s">
        <v>614</v>
      </c>
    </row>
    <row r="224" spans="1:8" x14ac:dyDescent="0.2">
      <c r="A224" s="1"/>
      <c r="B224" s="1"/>
      <c r="C224" s="1"/>
      <c r="D224" s="1"/>
      <c r="E224" s="1"/>
      <c r="F224" s="1"/>
      <c r="G224" s="1" t="s">
        <v>628</v>
      </c>
      <c r="H224" s="1"/>
    </row>
    <row r="225" spans="1:8" x14ac:dyDescent="0.2">
      <c r="A225" s="1"/>
      <c r="B225" s="1"/>
      <c r="C225" s="1"/>
      <c r="D225" s="1"/>
      <c r="E225" s="1"/>
      <c r="F225" s="1"/>
      <c r="G225" s="1"/>
      <c r="H225" s="1"/>
    </row>
    <row r="226" spans="1:8" x14ac:dyDescent="0.2">
      <c r="A226" s="1"/>
      <c r="B226" s="1"/>
      <c r="C226" s="1"/>
      <c r="D226" s="1"/>
      <c r="E226" s="1"/>
      <c r="F226" s="1"/>
      <c r="G226" s="1" t="s">
        <v>615</v>
      </c>
      <c r="H226" s="1"/>
    </row>
    <row r="227" spans="1:8" x14ac:dyDescent="0.2">
      <c r="A227" s="1"/>
      <c r="B227" s="1"/>
      <c r="C227" s="1"/>
      <c r="D227" s="1"/>
      <c r="E227" s="1"/>
      <c r="F227" s="1"/>
      <c r="G227" s="1" t="s">
        <v>629</v>
      </c>
      <c r="H227" s="1"/>
    </row>
    <row r="228" spans="1:8" x14ac:dyDescent="0.2">
      <c r="A228" s="1"/>
      <c r="B228" s="1"/>
      <c r="C228" s="1"/>
      <c r="D228" s="1"/>
      <c r="E228" s="1"/>
      <c r="F228" s="1"/>
      <c r="G228" s="1"/>
      <c r="H228" s="1"/>
    </row>
    <row r="229" spans="1:8" x14ac:dyDescent="0.2">
      <c r="A229" s="1"/>
      <c r="B229" s="1"/>
      <c r="C229" s="1"/>
      <c r="D229" s="1"/>
      <c r="E229" s="1"/>
      <c r="F229" s="1"/>
      <c r="G229" s="1" t="s">
        <v>616</v>
      </c>
      <c r="H229" s="1"/>
    </row>
    <row r="230" spans="1:8" x14ac:dyDescent="0.2">
      <c r="A230" s="1"/>
      <c r="B230" s="1"/>
      <c r="C230" s="1"/>
      <c r="D230" s="1"/>
      <c r="E230" s="1"/>
      <c r="F230" s="1"/>
      <c r="G230" s="1"/>
      <c r="H230" s="1"/>
    </row>
    <row r="231" spans="1:8" x14ac:dyDescent="0.2">
      <c r="A231" s="1"/>
      <c r="B231" s="1"/>
      <c r="C231" s="1"/>
      <c r="D231" s="1"/>
      <c r="E231" s="1"/>
      <c r="F231" s="1"/>
      <c r="G231" s="1"/>
      <c r="H231" s="1"/>
    </row>
    <row r="232" spans="1:8" x14ac:dyDescent="0.2">
      <c r="A232" s="4"/>
      <c r="B232" s="1"/>
      <c r="C232" s="1"/>
      <c r="D232" s="1"/>
      <c r="E232" s="1"/>
      <c r="F232" s="1"/>
      <c r="G232" s="1"/>
      <c r="H232" s="1"/>
    </row>
    <row r="233" spans="1:8" x14ac:dyDescent="0.2">
      <c r="A233" s="1"/>
      <c r="B233" s="1"/>
      <c r="C233" s="1"/>
      <c r="D233" s="1"/>
      <c r="E233" s="1"/>
      <c r="F233" s="1"/>
      <c r="G233" s="1"/>
      <c r="H233" s="1"/>
    </row>
    <row r="234" spans="1:8" x14ac:dyDescent="0.2">
      <c r="A234" s="1"/>
      <c r="B234" s="1"/>
      <c r="C234" s="1"/>
      <c r="D234" s="1"/>
      <c r="E234" s="1"/>
      <c r="F234" s="1"/>
      <c r="G234" s="1"/>
      <c r="H234" s="1"/>
    </row>
    <row r="235" spans="1:8" x14ac:dyDescent="0.2">
      <c r="A235" s="1"/>
      <c r="B235" s="1"/>
      <c r="C235" s="1"/>
      <c r="D235" s="1"/>
      <c r="E235" s="1"/>
      <c r="F235" s="1"/>
      <c r="G235" s="1"/>
      <c r="H235" s="1"/>
    </row>
    <row r="239" spans="1:8" s="1" customFormat="1" x14ac:dyDescent="0.2"/>
    <row r="240" spans="1:8" s="1" customFormat="1" x14ac:dyDescent="0.2"/>
    <row r="241" s="1" customFormat="1" x14ac:dyDescent="0.2"/>
    <row r="242" s="1" customFormat="1" x14ac:dyDescent="0.2"/>
    <row r="243" s="1" customFormat="1" x14ac:dyDescent="0.2"/>
    <row r="244" s="1" customFormat="1" x14ac:dyDescent="0.2"/>
    <row r="245" s="1" customFormat="1" x14ac:dyDescent="0.2"/>
    <row r="246" s="1" customFormat="1" x14ac:dyDescent="0.2"/>
    <row r="247" s="1" customFormat="1" x14ac:dyDescent="0.2"/>
    <row r="248" s="1" customFormat="1" x14ac:dyDescent="0.2"/>
    <row r="249" s="1" customFormat="1" x14ac:dyDescent="0.2"/>
    <row r="250" s="1" customFormat="1" x14ac:dyDescent="0.2"/>
    <row r="251" s="1" customFormat="1" x14ac:dyDescent="0.2"/>
    <row r="252" s="1" customFormat="1" x14ac:dyDescent="0.2"/>
    <row r="253" s="1" customFormat="1" x14ac:dyDescent="0.2"/>
    <row r="254" s="1" customFormat="1" x14ac:dyDescent="0.2"/>
    <row r="255" s="1" customFormat="1" x14ac:dyDescent="0.2"/>
    <row r="256" s="1" customFormat="1" x14ac:dyDescent="0.2"/>
    <row r="257" s="1" customFormat="1" x14ac:dyDescent="0.2"/>
    <row r="258" s="1" customFormat="1" x14ac:dyDescent="0.2"/>
    <row r="259" s="1" customFormat="1" x14ac:dyDescent="0.2"/>
    <row r="260" s="1" customFormat="1" x14ac:dyDescent="0.2"/>
    <row r="261" s="1" customFormat="1" x14ac:dyDescent="0.2"/>
    <row r="262" s="1" customFormat="1" x14ac:dyDescent="0.2"/>
    <row r="263" s="1" customFormat="1" x14ac:dyDescent="0.2"/>
    <row r="264" s="1" customFormat="1" x14ac:dyDescent="0.2"/>
    <row r="265" s="1" customFormat="1" x14ac:dyDescent="0.2"/>
    <row r="266" s="1" customFormat="1" x14ac:dyDescent="0.2"/>
    <row r="267" s="1" customFormat="1" x14ac:dyDescent="0.2"/>
    <row r="268" s="1" customFormat="1" x14ac:dyDescent="0.2"/>
    <row r="269" s="1" customFormat="1" x14ac:dyDescent="0.2"/>
    <row r="270" s="1" customFormat="1" x14ac:dyDescent="0.2"/>
    <row r="271" s="1" customFormat="1" x14ac:dyDescent="0.2"/>
    <row r="272" s="1" customFormat="1" x14ac:dyDescent="0.2"/>
    <row r="273" s="1" customFormat="1" x14ac:dyDescent="0.2"/>
    <row r="274" s="1" customFormat="1" x14ac:dyDescent="0.2"/>
    <row r="275" s="1" customFormat="1" x14ac:dyDescent="0.2"/>
    <row r="276" s="1" customFormat="1" x14ac:dyDescent="0.2"/>
    <row r="277" s="1" customFormat="1" x14ac:dyDescent="0.2"/>
    <row r="278" s="1" customFormat="1" x14ac:dyDescent="0.2"/>
    <row r="279" s="1" customFormat="1" x14ac:dyDescent="0.2"/>
    <row r="280" s="1" customFormat="1" x14ac:dyDescent="0.2"/>
    <row r="281" s="1" customFormat="1" x14ac:dyDescent="0.2"/>
    <row r="282" s="1" customFormat="1" x14ac:dyDescent="0.2"/>
    <row r="283" s="1" customFormat="1" x14ac:dyDescent="0.2"/>
    <row r="284" s="1" customFormat="1" x14ac:dyDescent="0.2"/>
    <row r="285" s="1" customFormat="1" x14ac:dyDescent="0.2"/>
    <row r="286" s="1" customFormat="1" x14ac:dyDescent="0.2"/>
    <row r="287" s="1" customFormat="1" x14ac:dyDescent="0.2"/>
    <row r="288" s="1" customFormat="1" x14ac:dyDescent="0.2"/>
    <row r="289" s="1" customFormat="1" x14ac:dyDescent="0.2"/>
    <row r="290" s="1" customFormat="1" x14ac:dyDescent="0.2"/>
    <row r="291" s="1" customFormat="1" x14ac:dyDescent="0.2"/>
    <row r="292" s="1" customFormat="1" x14ac:dyDescent="0.2"/>
    <row r="293" s="1" customFormat="1" x14ac:dyDescent="0.2"/>
    <row r="294" s="1" customFormat="1" x14ac:dyDescent="0.2"/>
    <row r="295" s="1" customFormat="1" x14ac:dyDescent="0.2"/>
    <row r="296" s="1" customFormat="1" x14ac:dyDescent="0.2"/>
    <row r="297" s="1" customFormat="1" x14ac:dyDescent="0.2"/>
    <row r="298" s="1" customFormat="1" x14ac:dyDescent="0.2"/>
    <row r="299" s="1" customFormat="1" x14ac:dyDescent="0.2"/>
    <row r="300" s="1" customFormat="1" x14ac:dyDescent="0.2"/>
    <row r="301" s="1" customFormat="1" x14ac:dyDescent="0.2"/>
    <row r="302" s="1" customFormat="1" x14ac:dyDescent="0.2"/>
    <row r="303" s="1" customFormat="1" x14ac:dyDescent="0.2"/>
    <row r="304" s="1" customFormat="1" x14ac:dyDescent="0.2"/>
    <row r="305" s="1" customFormat="1" x14ac:dyDescent="0.2"/>
    <row r="306" s="1" customFormat="1" x14ac:dyDescent="0.2"/>
    <row r="307" s="1" customFormat="1" x14ac:dyDescent="0.2"/>
    <row r="308" s="1" customFormat="1" x14ac:dyDescent="0.2"/>
    <row r="309" s="1" customFormat="1" x14ac:dyDescent="0.2"/>
    <row r="310" s="1" customFormat="1" x14ac:dyDescent="0.2"/>
    <row r="311" s="1" customFormat="1" x14ac:dyDescent="0.2"/>
    <row r="312" s="1" customFormat="1" x14ac:dyDescent="0.2"/>
    <row r="313" s="1" customFormat="1" x14ac:dyDescent="0.2"/>
    <row r="314" s="1" customFormat="1" x14ac:dyDescent="0.2"/>
    <row r="315" s="1" customFormat="1" x14ac:dyDescent="0.2"/>
    <row r="316" s="1" customFormat="1" x14ac:dyDescent="0.2"/>
    <row r="317" s="1" customFormat="1" x14ac:dyDescent="0.2"/>
    <row r="318" s="1" customFormat="1" x14ac:dyDescent="0.2"/>
    <row r="319" s="1" customFormat="1" x14ac:dyDescent="0.2"/>
    <row r="320" s="1" customFormat="1" x14ac:dyDescent="0.2"/>
    <row r="321" s="1" customFormat="1" x14ac:dyDescent="0.2"/>
    <row r="322" s="1" customFormat="1" x14ac:dyDescent="0.2"/>
    <row r="323" s="1" customFormat="1" x14ac:dyDescent="0.2"/>
    <row r="324" s="1" customFormat="1" x14ac:dyDescent="0.2"/>
    <row r="325" s="1" customFormat="1" x14ac:dyDescent="0.2"/>
    <row r="326" s="1" customFormat="1" x14ac:dyDescent="0.2"/>
    <row r="327" s="1" customFormat="1" x14ac:dyDescent="0.2"/>
    <row r="328" s="1" customFormat="1" x14ac:dyDescent="0.2"/>
    <row r="329" s="1" customFormat="1" x14ac:dyDescent="0.2"/>
    <row r="330" s="1" customFormat="1" x14ac:dyDescent="0.2"/>
    <row r="331" s="1" customFormat="1" x14ac:dyDescent="0.2"/>
    <row r="332" s="1" customFormat="1" x14ac:dyDescent="0.2"/>
    <row r="333" s="1" customFormat="1" x14ac:dyDescent="0.2"/>
    <row r="334" s="1" customFormat="1" x14ac:dyDescent="0.2"/>
    <row r="335" s="1" customFormat="1" x14ac:dyDescent="0.2"/>
    <row r="336" s="1" customFormat="1" x14ac:dyDescent="0.2"/>
    <row r="337" s="1" customFormat="1" x14ac:dyDescent="0.2"/>
    <row r="338" s="1" customFormat="1" x14ac:dyDescent="0.2"/>
    <row r="339" s="1" customFormat="1" x14ac:dyDescent="0.2"/>
    <row r="340" s="1" customFormat="1" x14ac:dyDescent="0.2"/>
    <row r="341" s="1" customFormat="1" x14ac:dyDescent="0.2"/>
    <row r="342" s="1" customFormat="1" x14ac:dyDescent="0.2"/>
    <row r="343" s="1" customFormat="1" x14ac:dyDescent="0.2"/>
    <row r="344" s="1" customFormat="1" x14ac:dyDescent="0.2"/>
    <row r="345" s="1" customFormat="1" x14ac:dyDescent="0.2"/>
    <row r="346" s="1" customFormat="1" x14ac:dyDescent="0.2"/>
    <row r="347" s="1" customFormat="1" x14ac:dyDescent="0.2"/>
    <row r="348" s="1" customFormat="1" x14ac:dyDescent="0.2"/>
    <row r="349" s="1" customFormat="1" x14ac:dyDescent="0.2"/>
    <row r="350" s="1" customFormat="1" x14ac:dyDescent="0.2"/>
    <row r="351" s="1" customFormat="1" x14ac:dyDescent="0.2"/>
    <row r="352" s="1" customFormat="1" x14ac:dyDescent="0.2"/>
    <row r="353" s="1" customFormat="1" x14ac:dyDescent="0.2"/>
    <row r="354" s="1" customFormat="1" x14ac:dyDescent="0.2"/>
    <row r="355" s="1" customFormat="1" x14ac:dyDescent="0.2"/>
    <row r="356" s="1" customFormat="1" x14ac:dyDescent="0.2"/>
    <row r="357" s="1" customFormat="1" x14ac:dyDescent="0.2"/>
    <row r="358" s="1" customFormat="1" x14ac:dyDescent="0.2"/>
    <row r="359" s="1" customFormat="1" x14ac:dyDescent="0.2"/>
    <row r="360" s="1" customFormat="1" x14ac:dyDescent="0.2"/>
    <row r="361" s="1" customFormat="1" x14ac:dyDescent="0.2"/>
    <row r="362" s="1" customFormat="1" x14ac:dyDescent="0.2"/>
    <row r="363" s="1" customFormat="1" x14ac:dyDescent="0.2"/>
    <row r="364" s="1" customFormat="1" x14ac:dyDescent="0.2"/>
    <row r="365" s="1" customFormat="1" x14ac:dyDescent="0.2"/>
    <row r="366" s="1" customFormat="1" x14ac:dyDescent="0.2"/>
    <row r="367" s="1" customFormat="1" x14ac:dyDescent="0.2"/>
    <row r="368" s="1" customFormat="1" x14ac:dyDescent="0.2"/>
    <row r="369" s="1" customFormat="1" x14ac:dyDescent="0.2"/>
    <row r="370" s="1" customFormat="1" x14ac:dyDescent="0.2"/>
  </sheetData>
  <mergeCells count="2">
    <mergeCell ref="A71:H71"/>
    <mergeCell ref="E80:E81"/>
  </mergeCells>
  <pageMargins left="0.7" right="0.7" top="0.75" bottom="0.75" header="0.3" footer="0.3"/>
  <pageSetup paperSize="9" scale="95" orientation="portrait" horizontalDpi="0" verticalDpi="0"/>
  <rowBreaks count="4" manualBreakCount="4">
    <brk id="25" max="16383" man="1"/>
    <brk id="103" max="16383" man="1"/>
    <brk id="146" max="16383" man="1"/>
    <brk id="192" max="16383" man="1"/>
  </rowBreaks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72226C-4678-9940-9BB5-7DC7EBD9F443}">
  <dimension ref="A1:K288"/>
  <sheetViews>
    <sheetView rightToLeft="1" topLeftCell="A40" zoomScale="187" zoomScaleNormal="380" zoomScaleSheetLayoutView="227" workbookViewId="0">
      <selection activeCell="A180" sqref="A180"/>
    </sheetView>
  </sheetViews>
  <sheetFormatPr baseColWidth="10" defaultRowHeight="16" x14ac:dyDescent="0.2"/>
  <cols>
    <col min="1" max="1" width="12.5" style="1" customWidth="1"/>
    <col min="2" max="16384" width="10.83203125" style="1"/>
  </cols>
  <sheetData>
    <row r="1" spans="1:8" x14ac:dyDescent="0.2">
      <c r="A1" s="61" t="s">
        <v>2459</v>
      </c>
      <c r="B1" s="2"/>
      <c r="C1" s="2"/>
      <c r="D1" s="2"/>
      <c r="E1" s="2"/>
      <c r="F1" s="2"/>
      <c r="G1" s="2"/>
      <c r="H1" s="3">
        <v>45672</v>
      </c>
    </row>
    <row r="3" spans="1:8" x14ac:dyDescent="0.2">
      <c r="A3" s="1" t="s">
        <v>1527</v>
      </c>
    </row>
    <row r="4" spans="1:8" x14ac:dyDescent="0.2">
      <c r="A4" s="1" t="s">
        <v>2426</v>
      </c>
    </row>
    <row r="5" spans="1:8" x14ac:dyDescent="0.2">
      <c r="A5" s="1" t="s">
        <v>1528</v>
      </c>
    </row>
    <row r="6" spans="1:8" x14ac:dyDescent="0.2">
      <c r="A6" s="1" t="s">
        <v>1529</v>
      </c>
    </row>
    <row r="7" spans="1:8" x14ac:dyDescent="0.2">
      <c r="A7" s="1" t="s">
        <v>1530</v>
      </c>
    </row>
    <row r="9" spans="1:8" x14ac:dyDescent="0.2">
      <c r="B9" s="4" t="s">
        <v>2427</v>
      </c>
      <c r="F9" s="4" t="s">
        <v>2428</v>
      </c>
    </row>
    <row r="10" spans="1:8" x14ac:dyDescent="0.2">
      <c r="H10" s="21" t="s">
        <v>262</v>
      </c>
    </row>
    <row r="11" spans="1:8" x14ac:dyDescent="0.2">
      <c r="B11" s="21" t="s">
        <v>353</v>
      </c>
      <c r="D11" s="21" t="s">
        <v>262</v>
      </c>
      <c r="F11" s="21" t="s">
        <v>350</v>
      </c>
    </row>
    <row r="12" spans="1:8" x14ac:dyDescent="0.2">
      <c r="B12" s="21" t="s">
        <v>1531</v>
      </c>
      <c r="F12" s="21" t="s">
        <v>1532</v>
      </c>
    </row>
    <row r="18" spans="1:8" x14ac:dyDescent="0.2">
      <c r="A18" s="21" t="s">
        <v>71</v>
      </c>
      <c r="E18" s="21" t="s">
        <v>71</v>
      </c>
    </row>
    <row r="25" spans="1:8" ht="17" thickBot="1" x14ac:dyDescent="0.25"/>
    <row r="26" spans="1:8" x14ac:dyDescent="0.2">
      <c r="A26" s="70" t="s">
        <v>1513</v>
      </c>
      <c r="B26" s="71"/>
      <c r="C26" s="71"/>
      <c r="D26" s="71"/>
      <c r="E26" s="71"/>
      <c r="F26" s="71"/>
      <c r="G26" s="71"/>
      <c r="H26" s="72"/>
    </row>
    <row r="27" spans="1:8" ht="17" thickBot="1" x14ac:dyDescent="0.25">
      <c r="A27" s="64"/>
      <c r="H27" s="42"/>
    </row>
    <row r="28" spans="1:8" x14ac:dyDescent="0.2">
      <c r="A28" s="64" t="s">
        <v>360</v>
      </c>
      <c r="B28" s="1" t="s">
        <v>1514</v>
      </c>
      <c r="F28" s="46" t="s">
        <v>2429</v>
      </c>
      <c r="G28" s="113"/>
      <c r="H28" s="114"/>
    </row>
    <row r="29" spans="1:8" ht="17" thickBot="1" x14ac:dyDescent="0.25">
      <c r="A29" s="64"/>
      <c r="B29" s="1" t="s">
        <v>1515</v>
      </c>
      <c r="F29" s="110" t="s">
        <v>2430</v>
      </c>
      <c r="G29" s="115"/>
      <c r="H29" s="116"/>
    </row>
    <row r="30" spans="1:8" x14ac:dyDescent="0.2">
      <c r="A30" s="64"/>
      <c r="B30" s="1" t="s">
        <v>443</v>
      </c>
      <c r="C30" s="1" t="s">
        <v>486</v>
      </c>
      <c r="D30" s="1" t="s">
        <v>1944</v>
      </c>
      <c r="H30" s="42"/>
    </row>
    <row r="31" spans="1:8" x14ac:dyDescent="0.2">
      <c r="A31" s="64"/>
      <c r="B31" s="1" t="s">
        <v>484</v>
      </c>
      <c r="C31" s="1" t="s">
        <v>442</v>
      </c>
      <c r="D31" s="1" t="s">
        <v>1516</v>
      </c>
      <c r="H31" s="42"/>
    </row>
    <row r="32" spans="1:8" x14ac:dyDescent="0.2">
      <c r="A32" s="64"/>
      <c r="H32" s="42"/>
    </row>
    <row r="33" spans="1:8" x14ac:dyDescent="0.2">
      <c r="A33" s="64"/>
      <c r="B33" s="1" t="s">
        <v>1517</v>
      </c>
      <c r="H33" s="42"/>
    </row>
    <row r="34" spans="1:8" x14ac:dyDescent="0.2">
      <c r="A34" s="64"/>
      <c r="B34" s="1" t="s">
        <v>1518</v>
      </c>
      <c r="H34" s="42"/>
    </row>
    <row r="35" spans="1:8" x14ac:dyDescent="0.2">
      <c r="A35" s="64"/>
      <c r="B35" s="1" t="s">
        <v>1453</v>
      </c>
      <c r="H35" s="42"/>
    </row>
    <row r="36" spans="1:8" x14ac:dyDescent="0.2">
      <c r="A36" s="64"/>
      <c r="H36" s="42"/>
    </row>
    <row r="37" spans="1:8" x14ac:dyDescent="0.2">
      <c r="A37" s="64" t="s">
        <v>362</v>
      </c>
      <c r="B37" s="1" t="s">
        <v>1519</v>
      </c>
      <c r="H37" s="42"/>
    </row>
    <row r="38" spans="1:8" x14ac:dyDescent="0.2">
      <c r="A38" s="64"/>
      <c r="H38" s="42"/>
    </row>
    <row r="39" spans="1:8" x14ac:dyDescent="0.2">
      <c r="A39" s="64" t="s">
        <v>364</v>
      </c>
      <c r="B39" s="1" t="s">
        <v>1533</v>
      </c>
      <c r="H39" s="42"/>
    </row>
    <row r="40" spans="1:8" x14ac:dyDescent="0.2">
      <c r="A40" s="64"/>
      <c r="H40" s="42"/>
    </row>
    <row r="41" spans="1:8" ht="17" thickBot="1" x14ac:dyDescent="0.25">
      <c r="A41" s="65" t="s">
        <v>365</v>
      </c>
      <c r="B41" s="44" t="s">
        <v>488</v>
      </c>
      <c r="C41" s="44"/>
      <c r="D41" s="44"/>
      <c r="E41" s="44"/>
      <c r="F41" s="44"/>
      <c r="G41" s="44"/>
      <c r="H41" s="45"/>
    </row>
    <row r="43" spans="1:8" x14ac:dyDescent="0.2">
      <c r="A43" s="225" t="s">
        <v>1521</v>
      </c>
      <c r="B43" s="225"/>
      <c r="C43" s="225"/>
      <c r="D43" s="225"/>
      <c r="E43" s="225"/>
      <c r="F43" s="225"/>
      <c r="G43" s="225"/>
      <c r="H43" s="225"/>
    </row>
    <row r="44" spans="1:8" x14ac:dyDescent="0.2">
      <c r="A44" s="1" t="s">
        <v>1522</v>
      </c>
    </row>
    <row r="45" spans="1:8" x14ac:dyDescent="0.2">
      <c r="A45" s="1" t="s">
        <v>1534</v>
      </c>
    </row>
    <row r="46" spans="1:8" x14ac:dyDescent="0.2">
      <c r="A46" s="1" t="s">
        <v>1523</v>
      </c>
    </row>
    <row r="47" spans="1:8" x14ac:dyDescent="0.2">
      <c r="D47" s="21" t="s">
        <v>940</v>
      </c>
      <c r="E47" s="21" t="s">
        <v>717</v>
      </c>
    </row>
    <row r="48" spans="1:8" x14ac:dyDescent="0.2">
      <c r="D48" s="21">
        <v>8</v>
      </c>
      <c r="E48" s="21" t="s">
        <v>1524</v>
      </c>
    </row>
    <row r="49" spans="1:10" x14ac:dyDescent="0.2">
      <c r="D49" s="21">
        <v>3</v>
      </c>
      <c r="E49" s="21" t="s">
        <v>1525</v>
      </c>
    </row>
    <row r="51" spans="1:10" x14ac:dyDescent="0.2">
      <c r="A51" s="1" t="s">
        <v>1526</v>
      </c>
    </row>
    <row r="53" spans="1:10" x14ac:dyDescent="0.2">
      <c r="A53" s="1" t="s">
        <v>78</v>
      </c>
    </row>
    <row r="54" spans="1:10" x14ac:dyDescent="0.2">
      <c r="A54" s="1" t="s">
        <v>1536</v>
      </c>
    </row>
    <row r="55" spans="1:10" x14ac:dyDescent="0.2">
      <c r="A55" s="1" t="s">
        <v>1537</v>
      </c>
    </row>
    <row r="56" spans="1:10" x14ac:dyDescent="0.2">
      <c r="A56" s="1" t="s">
        <v>1538</v>
      </c>
    </row>
    <row r="57" spans="1:10" x14ac:dyDescent="0.2">
      <c r="C57" s="21" t="s">
        <v>2431</v>
      </c>
      <c r="D57" s="21" t="s">
        <v>2432</v>
      </c>
    </row>
    <row r="58" spans="1:10" x14ac:dyDescent="0.2">
      <c r="B58" s="21"/>
      <c r="C58" s="21" t="s">
        <v>1539</v>
      </c>
      <c r="D58" s="21" t="s">
        <v>1492</v>
      </c>
      <c r="E58" s="21"/>
    </row>
    <row r="59" spans="1:10" x14ac:dyDescent="0.2">
      <c r="B59" s="21" t="s">
        <v>872</v>
      </c>
      <c r="C59" s="21" t="s">
        <v>262</v>
      </c>
      <c r="D59" s="21" t="s">
        <v>1535</v>
      </c>
      <c r="E59" s="21" t="s">
        <v>1250</v>
      </c>
    </row>
    <row r="60" spans="1:10" x14ac:dyDescent="0.2">
      <c r="B60" s="75" t="s">
        <v>71</v>
      </c>
      <c r="C60" s="75" t="s">
        <v>1541</v>
      </c>
      <c r="D60" s="75" t="s">
        <v>1540</v>
      </c>
      <c r="E60" s="75" t="s">
        <v>262</v>
      </c>
    </row>
    <row r="61" spans="1:10" x14ac:dyDescent="0.2">
      <c r="B61" s="32">
        <v>20</v>
      </c>
      <c r="C61" s="32">
        <v>-8</v>
      </c>
      <c r="D61" s="32">
        <f>--3</f>
        <v>3</v>
      </c>
      <c r="E61" s="32">
        <f>C61+D61</f>
        <v>-5</v>
      </c>
      <c r="J61" s="21" t="s">
        <v>262</v>
      </c>
    </row>
    <row r="62" spans="1:10" x14ac:dyDescent="0.2">
      <c r="B62" s="32">
        <v>25</v>
      </c>
      <c r="C62" s="32">
        <v>-8</v>
      </c>
      <c r="D62" s="32">
        <f t="shared" ref="D62:D68" si="0">D61</f>
        <v>3</v>
      </c>
      <c r="E62" s="32">
        <f t="shared" ref="E62:E75" si="1">C62+D62</f>
        <v>-5</v>
      </c>
      <c r="H62" s="21" t="s">
        <v>350</v>
      </c>
    </row>
    <row r="63" spans="1:10" x14ac:dyDescent="0.2">
      <c r="B63" s="32">
        <f>B62+5</f>
        <v>30</v>
      </c>
      <c r="C63" s="32">
        <v>-8</v>
      </c>
      <c r="D63" s="32">
        <f t="shared" si="0"/>
        <v>3</v>
      </c>
      <c r="E63" s="32">
        <f t="shared" si="1"/>
        <v>-5</v>
      </c>
      <c r="H63" s="21" t="s">
        <v>1532</v>
      </c>
    </row>
    <row r="64" spans="1:10" x14ac:dyDescent="0.2">
      <c r="B64" s="32">
        <f t="shared" ref="B64:B75" si="2">B63+5</f>
        <v>35</v>
      </c>
      <c r="C64" s="32">
        <v>-8</v>
      </c>
      <c r="D64" s="32">
        <f t="shared" si="0"/>
        <v>3</v>
      </c>
      <c r="E64" s="32">
        <f t="shared" si="1"/>
        <v>-5</v>
      </c>
    </row>
    <row r="65" spans="2:11" x14ac:dyDescent="0.2">
      <c r="B65" s="32">
        <f t="shared" si="2"/>
        <v>40</v>
      </c>
      <c r="C65" s="32">
        <v>-8</v>
      </c>
      <c r="D65" s="32">
        <f t="shared" si="0"/>
        <v>3</v>
      </c>
      <c r="E65" s="32">
        <f t="shared" si="1"/>
        <v>-5</v>
      </c>
    </row>
    <row r="66" spans="2:11" x14ac:dyDescent="0.2">
      <c r="B66" s="32">
        <f t="shared" si="2"/>
        <v>45</v>
      </c>
      <c r="C66" s="32">
        <v>-8</v>
      </c>
      <c r="D66" s="32">
        <f t="shared" si="0"/>
        <v>3</v>
      </c>
      <c r="E66" s="32">
        <f t="shared" si="1"/>
        <v>-5</v>
      </c>
    </row>
    <row r="67" spans="2:11" x14ac:dyDescent="0.2">
      <c r="B67" s="319">
        <f t="shared" si="2"/>
        <v>50</v>
      </c>
      <c r="C67" s="32">
        <f>50-45-8</f>
        <v>-3</v>
      </c>
      <c r="D67" s="32">
        <f t="shared" si="0"/>
        <v>3</v>
      </c>
      <c r="E67" s="32">
        <f t="shared" si="1"/>
        <v>0</v>
      </c>
    </row>
    <row r="68" spans="2:11" ht="17" thickBot="1" x14ac:dyDescent="0.25">
      <c r="B68" s="319">
        <f t="shared" si="2"/>
        <v>55</v>
      </c>
      <c r="C68" s="32">
        <f>55-45-8</f>
        <v>2</v>
      </c>
      <c r="D68" s="32">
        <f t="shared" si="0"/>
        <v>3</v>
      </c>
      <c r="E68" s="32">
        <f t="shared" si="1"/>
        <v>5</v>
      </c>
    </row>
    <row r="69" spans="2:11" x14ac:dyDescent="0.2">
      <c r="B69" s="320">
        <f t="shared" si="2"/>
        <v>60</v>
      </c>
      <c r="C69" s="32">
        <f>B69-45-8</f>
        <v>7</v>
      </c>
      <c r="D69" s="32">
        <f>-(60-55-3)</f>
        <v>-2</v>
      </c>
      <c r="E69" s="32">
        <f t="shared" si="1"/>
        <v>5</v>
      </c>
      <c r="G69" s="21" t="s">
        <v>71</v>
      </c>
    </row>
    <row r="70" spans="2:11" x14ac:dyDescent="0.2">
      <c r="B70" s="321">
        <f t="shared" si="2"/>
        <v>65</v>
      </c>
      <c r="C70" s="32">
        <f t="shared" ref="C70:C75" si="3">B70-45-8</f>
        <v>12</v>
      </c>
      <c r="D70" s="32">
        <f>-(B70-55-3)</f>
        <v>-7</v>
      </c>
      <c r="E70" s="32">
        <f t="shared" si="1"/>
        <v>5</v>
      </c>
    </row>
    <row r="71" spans="2:11" x14ac:dyDescent="0.2">
      <c r="B71" s="321">
        <f t="shared" si="2"/>
        <v>70</v>
      </c>
      <c r="C71" s="32">
        <f t="shared" si="3"/>
        <v>17</v>
      </c>
      <c r="D71" s="32">
        <f>-(B71-55-3)</f>
        <v>-12</v>
      </c>
      <c r="E71" s="32">
        <f t="shared" si="1"/>
        <v>5</v>
      </c>
    </row>
    <row r="72" spans="2:11" x14ac:dyDescent="0.2">
      <c r="B72" s="321">
        <f t="shared" si="2"/>
        <v>75</v>
      </c>
      <c r="C72" s="32">
        <f t="shared" si="3"/>
        <v>22</v>
      </c>
      <c r="D72" s="32">
        <f t="shared" ref="D72:D75" si="4">-(B72-55-3)</f>
        <v>-17</v>
      </c>
      <c r="E72" s="32">
        <f t="shared" si="1"/>
        <v>5</v>
      </c>
    </row>
    <row r="73" spans="2:11" x14ac:dyDescent="0.2">
      <c r="B73" s="321">
        <f t="shared" si="2"/>
        <v>80</v>
      </c>
      <c r="C73" s="32">
        <f t="shared" si="3"/>
        <v>27</v>
      </c>
      <c r="D73" s="32">
        <f t="shared" si="4"/>
        <v>-22</v>
      </c>
      <c r="E73" s="32">
        <f t="shared" si="1"/>
        <v>5</v>
      </c>
    </row>
    <row r="74" spans="2:11" x14ac:dyDescent="0.2">
      <c r="B74" s="321">
        <f>B73+5</f>
        <v>85</v>
      </c>
      <c r="C74" s="32">
        <f t="shared" si="3"/>
        <v>32</v>
      </c>
      <c r="D74" s="32">
        <f t="shared" si="4"/>
        <v>-27</v>
      </c>
      <c r="E74" s="32">
        <f t="shared" si="1"/>
        <v>5</v>
      </c>
    </row>
    <row r="75" spans="2:11" ht="17" thickBot="1" x14ac:dyDescent="0.25">
      <c r="B75" s="322">
        <f t="shared" si="2"/>
        <v>90</v>
      </c>
      <c r="C75" s="32">
        <f t="shared" si="3"/>
        <v>37</v>
      </c>
      <c r="D75" s="32">
        <f t="shared" si="4"/>
        <v>-32</v>
      </c>
      <c r="E75" s="32">
        <f t="shared" si="1"/>
        <v>5</v>
      </c>
    </row>
    <row r="76" spans="2:11" ht="17" thickBot="1" x14ac:dyDescent="0.25"/>
    <row r="77" spans="2:11" x14ac:dyDescent="0.2">
      <c r="H77" s="46" t="s">
        <v>1542</v>
      </c>
      <c r="I77" s="113"/>
      <c r="J77" s="113"/>
      <c r="K77" s="114"/>
    </row>
    <row r="78" spans="2:11" ht="17" thickBot="1" x14ac:dyDescent="0.25">
      <c r="H78" s="110" t="s">
        <v>1543</v>
      </c>
      <c r="I78" s="115"/>
      <c r="J78" s="115"/>
      <c r="K78" s="116"/>
    </row>
    <row r="79" spans="2:11" x14ac:dyDescent="0.2">
      <c r="H79" s="1" t="s">
        <v>1544</v>
      </c>
      <c r="K79" s="21">
        <v>3</v>
      </c>
    </row>
    <row r="80" spans="2:11" x14ac:dyDescent="0.2">
      <c r="H80" s="1" t="s">
        <v>1545</v>
      </c>
      <c r="K80" s="21">
        <v>-8</v>
      </c>
    </row>
    <row r="81" spans="1:11" x14ac:dyDescent="0.2">
      <c r="H81" s="1" t="s">
        <v>1546</v>
      </c>
      <c r="K81" s="226">
        <f>K79+K80</f>
        <v>-5</v>
      </c>
    </row>
    <row r="82" spans="1:11" ht="17" thickBot="1" x14ac:dyDescent="0.25"/>
    <row r="83" spans="1:11" x14ac:dyDescent="0.2">
      <c r="B83" s="46" t="s">
        <v>1556</v>
      </c>
      <c r="C83" s="113"/>
      <c r="D83" s="113"/>
      <c r="E83" s="114"/>
      <c r="H83" s="46" t="s">
        <v>1547</v>
      </c>
      <c r="I83" s="113"/>
      <c r="J83" s="113"/>
      <c r="K83" s="114"/>
    </row>
    <row r="84" spans="1:11" x14ac:dyDescent="0.2">
      <c r="B84" s="111" t="s">
        <v>1557</v>
      </c>
      <c r="C84" s="4"/>
      <c r="D84" s="4"/>
      <c r="E84" s="96"/>
      <c r="H84" s="111" t="s">
        <v>1548</v>
      </c>
      <c r="I84" s="4"/>
      <c r="J84" s="4"/>
      <c r="K84" s="96"/>
    </row>
    <row r="85" spans="1:11" ht="17" thickBot="1" x14ac:dyDescent="0.25">
      <c r="B85" s="110" t="s">
        <v>1558</v>
      </c>
      <c r="C85" s="115"/>
      <c r="D85" s="115"/>
      <c r="E85" s="116"/>
      <c r="H85" s="110" t="s">
        <v>1549</v>
      </c>
      <c r="I85" s="115"/>
      <c r="J85" s="115"/>
      <c r="K85" s="116"/>
    </row>
    <row r="86" spans="1:11" ht="17" thickBot="1" x14ac:dyDescent="0.25"/>
    <row r="87" spans="1:11" x14ac:dyDescent="0.2">
      <c r="B87" s="46" t="s">
        <v>1559</v>
      </c>
      <c r="C87" s="113"/>
      <c r="D87" s="113"/>
      <c r="E87" s="114"/>
      <c r="H87" s="46" t="s">
        <v>1550</v>
      </c>
      <c r="I87" s="113"/>
      <c r="J87" s="113"/>
      <c r="K87" s="114"/>
    </row>
    <row r="88" spans="1:11" x14ac:dyDescent="0.2">
      <c r="B88" s="111" t="s">
        <v>1560</v>
      </c>
      <c r="C88" s="4"/>
      <c r="D88" s="4"/>
      <c r="E88" s="96"/>
      <c r="H88" s="111" t="s">
        <v>1551</v>
      </c>
      <c r="I88" s="4"/>
      <c r="J88" s="4"/>
      <c r="K88" s="96"/>
    </row>
    <row r="89" spans="1:11" ht="17" thickBot="1" x14ac:dyDescent="0.25">
      <c r="B89" s="110" t="s">
        <v>1561</v>
      </c>
      <c r="C89" s="115"/>
      <c r="D89" s="115"/>
      <c r="E89" s="116"/>
      <c r="H89" s="110" t="s">
        <v>1552</v>
      </c>
      <c r="I89" s="115"/>
      <c r="J89" s="115"/>
      <c r="K89" s="116"/>
    </row>
    <row r="91" spans="1:11" x14ac:dyDescent="0.2">
      <c r="H91" s="1" t="s">
        <v>1553</v>
      </c>
      <c r="K91" s="21">
        <v>45</v>
      </c>
    </row>
    <row r="92" spans="1:11" x14ac:dyDescent="0.2">
      <c r="H92" s="1" t="s">
        <v>1554</v>
      </c>
      <c r="K92" s="21">
        <v>5</v>
      </c>
    </row>
    <row r="93" spans="1:11" x14ac:dyDescent="0.2">
      <c r="H93" s="1" t="s">
        <v>1555</v>
      </c>
      <c r="K93" s="226">
        <f>K91+K92</f>
        <v>50</v>
      </c>
    </row>
    <row r="96" spans="1:11" x14ac:dyDescent="0.2">
      <c r="A96" s="225" t="s">
        <v>2433</v>
      </c>
      <c r="B96" s="225"/>
      <c r="C96" s="225"/>
      <c r="D96" s="225"/>
      <c r="E96" s="225"/>
      <c r="F96" s="225"/>
      <c r="G96" s="225"/>
      <c r="H96" s="225"/>
    </row>
    <row r="97" spans="1:5" x14ac:dyDescent="0.2">
      <c r="A97" s="1" t="s">
        <v>2434</v>
      </c>
    </row>
    <row r="98" spans="1:5" x14ac:dyDescent="0.2">
      <c r="A98" s="1" t="s">
        <v>2435</v>
      </c>
    </row>
    <row r="99" spans="1:5" x14ac:dyDescent="0.2">
      <c r="A99" s="1" t="s">
        <v>2436</v>
      </c>
    </row>
    <row r="100" spans="1:5" x14ac:dyDescent="0.2">
      <c r="A100" s="1" t="s">
        <v>2437</v>
      </c>
    </row>
    <row r="102" spans="1:5" x14ac:dyDescent="0.2">
      <c r="A102" s="1" t="s">
        <v>2442</v>
      </c>
      <c r="D102" s="21" t="s">
        <v>940</v>
      </c>
      <c r="E102" s="21" t="s">
        <v>717</v>
      </c>
    </row>
    <row r="103" spans="1:5" x14ac:dyDescent="0.2">
      <c r="A103" s="1" t="s">
        <v>2443</v>
      </c>
      <c r="D103" s="21">
        <v>5</v>
      </c>
      <c r="E103" s="21" t="s">
        <v>502</v>
      </c>
    </row>
    <row r="104" spans="1:5" x14ac:dyDescent="0.2">
      <c r="D104" s="21">
        <v>25</v>
      </c>
      <c r="E104" s="21" t="s">
        <v>630</v>
      </c>
    </row>
    <row r="106" spans="1:5" x14ac:dyDescent="0.2">
      <c r="A106" s="1" t="s">
        <v>723</v>
      </c>
    </row>
    <row r="107" spans="1:5" x14ac:dyDescent="0.2">
      <c r="A107" s="1" t="s">
        <v>2438</v>
      </c>
    </row>
    <row r="108" spans="1:5" x14ac:dyDescent="0.2">
      <c r="A108" s="1" t="s">
        <v>2439</v>
      </c>
    </row>
    <row r="109" spans="1:5" x14ac:dyDescent="0.2">
      <c r="A109" s="1" t="s">
        <v>2440</v>
      </c>
    </row>
    <row r="110" spans="1:5" x14ac:dyDescent="0.2">
      <c r="A110" s="1" t="s">
        <v>2441</v>
      </c>
    </row>
    <row r="111" spans="1:5" x14ac:dyDescent="0.2">
      <c r="A111" s="1" t="s">
        <v>728</v>
      </c>
    </row>
    <row r="113" spans="1:5" x14ac:dyDescent="0.2">
      <c r="A113" s="1" t="s">
        <v>78</v>
      </c>
    </row>
    <row r="114" spans="1:5" x14ac:dyDescent="0.2">
      <c r="B114" s="14" t="s">
        <v>71</v>
      </c>
      <c r="C114" s="323" t="s">
        <v>2444</v>
      </c>
      <c r="D114" s="323" t="s">
        <v>2445</v>
      </c>
      <c r="E114" s="14" t="s">
        <v>381</v>
      </c>
    </row>
    <row r="115" spans="1:5" x14ac:dyDescent="0.2">
      <c r="B115" s="14">
        <v>20</v>
      </c>
      <c r="C115" s="14">
        <v>-25</v>
      </c>
      <c r="D115" s="14">
        <v>5</v>
      </c>
      <c r="E115" s="14">
        <f>SUM(C115:D115)</f>
        <v>-20</v>
      </c>
    </row>
    <row r="116" spans="1:5" x14ac:dyDescent="0.2">
      <c r="B116" s="14">
        <f>B115+10</f>
        <v>30</v>
      </c>
      <c r="C116" s="14">
        <v>-25</v>
      </c>
      <c r="D116" s="14">
        <v>5</v>
      </c>
      <c r="E116" s="14">
        <f t="shared" ref="E116:E128" si="5">SUM(C116:D116)</f>
        <v>-20</v>
      </c>
    </row>
    <row r="117" spans="1:5" x14ac:dyDescent="0.2">
      <c r="B117" s="14">
        <f t="shared" ref="B117:B128" si="6">B116+10</f>
        <v>40</v>
      </c>
      <c r="C117" s="14">
        <v>-25</v>
      </c>
      <c r="D117" s="14">
        <v>5</v>
      </c>
      <c r="E117" s="14">
        <f t="shared" si="5"/>
        <v>-20</v>
      </c>
    </row>
    <row r="118" spans="1:5" x14ac:dyDescent="0.2">
      <c r="B118" s="14">
        <f t="shared" si="6"/>
        <v>50</v>
      </c>
      <c r="C118" s="14">
        <v>-25</v>
      </c>
      <c r="D118" s="14">
        <v>5</v>
      </c>
      <c r="E118" s="14">
        <f t="shared" si="5"/>
        <v>-20</v>
      </c>
    </row>
    <row r="119" spans="1:5" x14ac:dyDescent="0.2">
      <c r="B119" s="14">
        <f t="shared" si="6"/>
        <v>60</v>
      </c>
      <c r="C119" s="14">
        <v>-25</v>
      </c>
      <c r="D119" s="14">
        <v>5</v>
      </c>
      <c r="E119" s="14">
        <f t="shared" si="5"/>
        <v>-20</v>
      </c>
    </row>
    <row r="120" spans="1:5" x14ac:dyDescent="0.2">
      <c r="B120" s="14">
        <f t="shared" si="6"/>
        <v>70</v>
      </c>
      <c r="C120" s="14">
        <v>-25</v>
      </c>
      <c r="D120" s="14">
        <v>5</v>
      </c>
      <c r="E120" s="14">
        <f t="shared" si="5"/>
        <v>-20</v>
      </c>
    </row>
    <row r="121" spans="1:5" x14ac:dyDescent="0.2">
      <c r="B121" s="14">
        <f t="shared" si="6"/>
        <v>80</v>
      </c>
      <c r="C121" s="14">
        <v>-25</v>
      </c>
      <c r="D121" s="14">
        <v>5</v>
      </c>
      <c r="E121" s="14">
        <f t="shared" si="5"/>
        <v>-20</v>
      </c>
    </row>
    <row r="122" spans="1:5" x14ac:dyDescent="0.2">
      <c r="B122" s="137">
        <f t="shared" si="6"/>
        <v>90</v>
      </c>
      <c r="C122" s="14">
        <v>-25</v>
      </c>
      <c r="D122" s="14">
        <v>5</v>
      </c>
      <c r="E122" s="14">
        <f t="shared" si="5"/>
        <v>-20</v>
      </c>
    </row>
    <row r="123" spans="1:5" x14ac:dyDescent="0.2">
      <c r="B123" s="14">
        <f t="shared" si="6"/>
        <v>100</v>
      </c>
      <c r="C123" s="14">
        <f>B123-90-25</f>
        <v>-15</v>
      </c>
      <c r="D123" s="14">
        <v>5</v>
      </c>
      <c r="E123" s="14">
        <f t="shared" si="5"/>
        <v>-10</v>
      </c>
    </row>
    <row r="124" spans="1:5" x14ac:dyDescent="0.2">
      <c r="B124" s="14">
        <f t="shared" si="6"/>
        <v>110</v>
      </c>
      <c r="C124" s="14">
        <f t="shared" ref="C124:C128" si="7">B124-90-25</f>
        <v>-5</v>
      </c>
      <c r="D124" s="14">
        <v>5</v>
      </c>
      <c r="E124" s="14">
        <f t="shared" si="5"/>
        <v>0</v>
      </c>
    </row>
    <row r="125" spans="1:5" x14ac:dyDescent="0.2">
      <c r="B125" s="324">
        <f t="shared" si="6"/>
        <v>120</v>
      </c>
      <c r="C125" s="14">
        <f t="shared" si="7"/>
        <v>5</v>
      </c>
      <c r="D125" s="14">
        <v>5</v>
      </c>
      <c r="E125" s="14">
        <f t="shared" si="5"/>
        <v>10</v>
      </c>
    </row>
    <row r="126" spans="1:5" x14ac:dyDescent="0.2">
      <c r="B126" s="14">
        <f t="shared" si="6"/>
        <v>130</v>
      </c>
      <c r="C126" s="14">
        <f t="shared" si="7"/>
        <v>15</v>
      </c>
      <c r="D126" s="14">
        <f>-(B126-120-5)</f>
        <v>-5</v>
      </c>
      <c r="E126" s="14">
        <f t="shared" si="5"/>
        <v>10</v>
      </c>
    </row>
    <row r="127" spans="1:5" x14ac:dyDescent="0.2">
      <c r="B127" s="14">
        <f t="shared" si="6"/>
        <v>140</v>
      </c>
      <c r="C127" s="14">
        <f t="shared" si="7"/>
        <v>25</v>
      </c>
      <c r="D127" s="14">
        <f>-(B127-120-5)</f>
        <v>-15</v>
      </c>
      <c r="E127" s="14">
        <f t="shared" si="5"/>
        <v>10</v>
      </c>
    </row>
    <row r="128" spans="1:5" x14ac:dyDescent="0.2">
      <c r="B128" s="14">
        <f t="shared" si="6"/>
        <v>150</v>
      </c>
      <c r="C128" s="14">
        <f t="shared" si="7"/>
        <v>35</v>
      </c>
      <c r="D128" s="14">
        <f>-(B128-120-5)</f>
        <v>-25</v>
      </c>
      <c r="E128" s="14">
        <f t="shared" si="5"/>
        <v>10</v>
      </c>
    </row>
    <row r="131" spans="1:5" x14ac:dyDescent="0.2">
      <c r="A131" s="1" t="s">
        <v>2446</v>
      </c>
    </row>
    <row r="136" spans="1:5" x14ac:dyDescent="0.2">
      <c r="A136" s="1" t="s">
        <v>2448</v>
      </c>
    </row>
    <row r="137" spans="1:5" x14ac:dyDescent="0.2">
      <c r="A137" s="1" t="s">
        <v>2449</v>
      </c>
      <c r="E137" s="1" t="s">
        <v>2447</v>
      </c>
    </row>
    <row r="138" spans="1:5" x14ac:dyDescent="0.2">
      <c r="A138" s="1" t="s">
        <v>2450</v>
      </c>
    </row>
    <row r="139" spans="1:5" x14ac:dyDescent="0.2">
      <c r="A139" s="1" t="s">
        <v>2451</v>
      </c>
    </row>
    <row r="141" spans="1:5" x14ac:dyDescent="0.2">
      <c r="A141" s="1" t="s">
        <v>2452</v>
      </c>
    </row>
    <row r="142" spans="1:5" x14ac:dyDescent="0.2">
      <c r="A142" s="1" t="s">
        <v>2453</v>
      </c>
    </row>
    <row r="143" spans="1:5" x14ac:dyDescent="0.2">
      <c r="A143" s="1" t="s">
        <v>2454</v>
      </c>
    </row>
    <row r="144" spans="1:5" x14ac:dyDescent="0.2">
      <c r="A144" s="1" t="s">
        <v>2455</v>
      </c>
    </row>
    <row r="146" spans="1:1" x14ac:dyDescent="0.2">
      <c r="A146" s="1" t="s">
        <v>2456</v>
      </c>
    </row>
    <row r="147" spans="1:1" x14ac:dyDescent="0.2">
      <c r="A147" s="1" t="s">
        <v>2457</v>
      </c>
    </row>
    <row r="161" spans="1:8" ht="17" thickBot="1" x14ac:dyDescent="0.25"/>
    <row r="162" spans="1:8" ht="28" x14ac:dyDescent="0.3">
      <c r="A162" s="228" t="s">
        <v>1520</v>
      </c>
      <c r="B162" s="118"/>
      <c r="C162" s="118"/>
      <c r="D162" s="118"/>
      <c r="E162" s="118"/>
      <c r="F162" s="118"/>
      <c r="G162" s="39"/>
      <c r="H162" s="40"/>
    </row>
    <row r="163" spans="1:8" s="25" customFormat="1" x14ac:dyDescent="0.2">
      <c r="A163" s="26" t="s">
        <v>635</v>
      </c>
      <c r="B163" s="108" t="s">
        <v>636</v>
      </c>
      <c r="H163" s="27"/>
    </row>
    <row r="164" spans="1:8" s="25" customFormat="1" x14ac:dyDescent="0.2">
      <c r="A164" s="26" t="s">
        <v>637</v>
      </c>
      <c r="B164" s="25" t="s">
        <v>1562</v>
      </c>
      <c r="H164" s="27"/>
    </row>
    <row r="165" spans="1:8" s="25" customFormat="1" x14ac:dyDescent="0.2">
      <c r="A165" s="26" t="s">
        <v>638</v>
      </c>
      <c r="B165" s="25" t="s">
        <v>649</v>
      </c>
      <c r="H165" s="27"/>
    </row>
    <row r="166" spans="1:8" s="25" customFormat="1" x14ac:dyDescent="0.2">
      <c r="A166" s="26" t="s">
        <v>639</v>
      </c>
      <c r="B166" s="25" t="s">
        <v>640</v>
      </c>
      <c r="H166" s="27"/>
    </row>
    <row r="167" spans="1:8" s="25" customFormat="1" x14ac:dyDescent="0.2">
      <c r="A167" s="26" t="s">
        <v>650</v>
      </c>
      <c r="B167" s="25" t="s">
        <v>1563</v>
      </c>
      <c r="H167" s="27"/>
    </row>
    <row r="168" spans="1:8" s="25" customFormat="1" x14ac:dyDescent="0.2">
      <c r="A168" s="26"/>
      <c r="B168" s="25" t="s">
        <v>658</v>
      </c>
      <c r="H168" s="27"/>
    </row>
    <row r="169" spans="1:8" s="25" customFormat="1" x14ac:dyDescent="0.2">
      <c r="A169" s="26" t="s">
        <v>652</v>
      </c>
      <c r="B169" s="25" t="s">
        <v>1564</v>
      </c>
      <c r="H169" s="27"/>
    </row>
    <row r="170" spans="1:8" s="25" customFormat="1" x14ac:dyDescent="0.2">
      <c r="A170" s="26" t="s">
        <v>653</v>
      </c>
      <c r="B170" s="25" t="s">
        <v>1565</v>
      </c>
      <c r="H170" s="27"/>
    </row>
    <row r="171" spans="1:8" x14ac:dyDescent="0.2">
      <c r="A171" s="41"/>
      <c r="H171" s="42"/>
    </row>
    <row r="172" spans="1:8" x14ac:dyDescent="0.2">
      <c r="A172" s="227" t="s">
        <v>1566</v>
      </c>
      <c r="B172" s="38"/>
      <c r="C172" s="38"/>
      <c r="D172" s="38"/>
      <c r="E172" s="38"/>
      <c r="F172" s="38"/>
      <c r="H172" s="42"/>
    </row>
    <row r="173" spans="1:8" x14ac:dyDescent="0.2">
      <c r="A173" s="41" t="s">
        <v>641</v>
      </c>
      <c r="B173" s="1" t="s">
        <v>642</v>
      </c>
      <c r="H173" s="42"/>
    </row>
    <row r="174" spans="1:8" x14ac:dyDescent="0.2">
      <c r="A174" s="41" t="s">
        <v>643</v>
      </c>
      <c r="B174" s="1" t="s">
        <v>644</v>
      </c>
      <c r="H174" s="42"/>
    </row>
    <row r="175" spans="1:8" x14ac:dyDescent="0.2">
      <c r="A175" s="41" t="s">
        <v>645</v>
      </c>
      <c r="B175" s="1" t="s">
        <v>646</v>
      </c>
      <c r="H175" s="42"/>
    </row>
    <row r="176" spans="1:8" x14ac:dyDescent="0.2">
      <c r="A176" s="41" t="s">
        <v>647</v>
      </c>
      <c r="B176" s="1" t="s">
        <v>1511</v>
      </c>
      <c r="H176" s="42"/>
    </row>
    <row r="177" spans="1:8" x14ac:dyDescent="0.2">
      <c r="A177" s="41" t="s">
        <v>648</v>
      </c>
      <c r="B177" s="1" t="s">
        <v>1512</v>
      </c>
      <c r="H177" s="42"/>
    </row>
    <row r="178" spans="1:8" x14ac:dyDescent="0.2">
      <c r="A178" s="41"/>
      <c r="H178" s="42"/>
    </row>
    <row r="179" spans="1:8" x14ac:dyDescent="0.2">
      <c r="A179" s="227" t="s">
        <v>651</v>
      </c>
      <c r="B179" s="107"/>
      <c r="C179" s="107"/>
      <c r="D179" s="107"/>
      <c r="E179" s="107"/>
      <c r="F179" s="107"/>
      <c r="H179" s="42"/>
    </row>
    <row r="180" spans="1:8" ht="17" thickBot="1" x14ac:dyDescent="0.25">
      <c r="A180" s="43" t="s">
        <v>659</v>
      </c>
      <c r="B180" s="44"/>
      <c r="C180" s="44"/>
      <c r="D180" s="44"/>
      <c r="E180" s="44"/>
      <c r="F180" s="44"/>
      <c r="G180" s="44"/>
      <c r="H180" s="45"/>
    </row>
    <row r="182" spans="1:8" x14ac:dyDescent="0.2">
      <c r="A182" s="13"/>
    </row>
    <row r="183" spans="1:8" x14ac:dyDescent="0.2">
      <c r="A183" s="13" t="s">
        <v>2458</v>
      </c>
    </row>
    <row r="184" spans="1:8" ht="17" thickBot="1" x14ac:dyDescent="0.25"/>
    <row r="185" spans="1:8" ht="17" thickBot="1" x14ac:dyDescent="0.25">
      <c r="A185" s="50" t="s">
        <v>654</v>
      </c>
      <c r="B185" s="51"/>
      <c r="C185" s="51"/>
      <c r="D185" s="51"/>
      <c r="E185" s="51"/>
      <c r="F185" s="51"/>
      <c r="G185" s="51"/>
      <c r="H185" s="52"/>
    </row>
    <row r="186" spans="1:8" x14ac:dyDescent="0.2">
      <c r="A186" s="1" t="s">
        <v>602</v>
      </c>
    </row>
    <row r="188" spans="1:8" x14ac:dyDescent="0.2">
      <c r="C188" s="75" t="s">
        <v>368</v>
      </c>
      <c r="D188" s="75" t="s">
        <v>514</v>
      </c>
      <c r="F188" s="4"/>
    </row>
    <row r="189" spans="1:8" x14ac:dyDescent="0.2">
      <c r="C189" s="21" t="s">
        <v>512</v>
      </c>
      <c r="D189" s="21">
        <v>30</v>
      </c>
      <c r="F189" s="4"/>
    </row>
    <row r="190" spans="1:8" x14ac:dyDescent="0.2">
      <c r="C190" s="21" t="s">
        <v>513</v>
      </c>
      <c r="D190" s="21">
        <v>10</v>
      </c>
      <c r="F190" s="4"/>
    </row>
    <row r="191" spans="1:8" x14ac:dyDescent="0.2">
      <c r="C191" s="21" t="s">
        <v>370</v>
      </c>
      <c r="D191" s="21">
        <v>40</v>
      </c>
    </row>
    <row r="192" spans="1:8" x14ac:dyDescent="0.2">
      <c r="C192" s="21" t="s">
        <v>502</v>
      </c>
      <c r="D192" s="21">
        <v>30</v>
      </c>
    </row>
    <row r="194" spans="1:8" x14ac:dyDescent="0.2">
      <c r="A194" s="1" t="s">
        <v>655</v>
      </c>
    </row>
    <row r="195" spans="1:8" x14ac:dyDescent="0.2">
      <c r="A195" s="1" t="s">
        <v>656</v>
      </c>
    </row>
    <row r="196" spans="1:8" x14ac:dyDescent="0.2">
      <c r="A196" s="1" t="s">
        <v>657</v>
      </c>
    </row>
    <row r="197" spans="1:8" x14ac:dyDescent="0.2">
      <c r="A197" s="1" t="s">
        <v>603</v>
      </c>
    </row>
    <row r="198" spans="1:8" x14ac:dyDescent="0.2">
      <c r="A198" s="1" t="s">
        <v>604</v>
      </c>
    </row>
    <row r="199" spans="1:8" x14ac:dyDescent="0.2">
      <c r="A199" s="1" t="s">
        <v>605</v>
      </c>
    </row>
    <row r="200" spans="1:8" x14ac:dyDescent="0.2">
      <c r="A200" s="112" t="s">
        <v>715</v>
      </c>
      <c r="B200" s="109"/>
      <c r="C200" s="109"/>
      <c r="D200" s="109"/>
      <c r="E200" s="109"/>
      <c r="F200" s="109"/>
      <c r="G200" s="109"/>
      <c r="H200" s="109"/>
    </row>
    <row r="201" spans="1:8" x14ac:dyDescent="0.2">
      <c r="A201" s="1" t="s">
        <v>602</v>
      </c>
    </row>
    <row r="203" spans="1:8" x14ac:dyDescent="0.2">
      <c r="C203" s="75" t="s">
        <v>368</v>
      </c>
      <c r="D203" s="75" t="s">
        <v>514</v>
      </c>
      <c r="F203" s="4"/>
    </row>
    <row r="204" spans="1:8" x14ac:dyDescent="0.2">
      <c r="C204" s="21" t="s">
        <v>512</v>
      </c>
      <c r="D204" s="21">
        <v>30</v>
      </c>
      <c r="F204" s="4"/>
    </row>
    <row r="205" spans="1:8" x14ac:dyDescent="0.2">
      <c r="C205" s="21" t="s">
        <v>513</v>
      </c>
      <c r="D205" s="21">
        <v>10</v>
      </c>
      <c r="F205" s="4"/>
    </row>
    <row r="206" spans="1:8" x14ac:dyDescent="0.2">
      <c r="C206" s="21" t="s">
        <v>370</v>
      </c>
      <c r="D206" s="21">
        <v>40</v>
      </c>
    </row>
    <row r="207" spans="1:8" x14ac:dyDescent="0.2">
      <c r="C207" s="21" t="s">
        <v>502</v>
      </c>
      <c r="D207" s="21">
        <v>30</v>
      </c>
    </row>
    <row r="208" spans="1:8" ht="17" thickBot="1" x14ac:dyDescent="0.25"/>
    <row r="209" spans="1:8" x14ac:dyDescent="0.2">
      <c r="A209" s="46" t="s">
        <v>655</v>
      </c>
      <c r="B209" s="39"/>
      <c r="C209" s="39"/>
      <c r="D209" s="39"/>
      <c r="E209" s="39"/>
      <c r="F209" s="39"/>
      <c r="G209" s="39"/>
      <c r="H209" s="40"/>
    </row>
    <row r="210" spans="1:8" ht="17" thickBot="1" x14ac:dyDescent="0.25">
      <c r="A210" s="110" t="s">
        <v>656</v>
      </c>
      <c r="B210" s="44"/>
      <c r="C210" s="44"/>
      <c r="D210" s="44"/>
      <c r="E210" s="44"/>
      <c r="F210" s="44"/>
      <c r="G210" s="44"/>
      <c r="H210" s="45"/>
    </row>
    <row r="212" spans="1:8" x14ac:dyDescent="0.2">
      <c r="A212" s="1" t="s">
        <v>660</v>
      </c>
    </row>
    <row r="213" spans="1:8" x14ac:dyDescent="0.2">
      <c r="A213" s="1" t="s">
        <v>662</v>
      </c>
    </row>
    <row r="214" spans="1:8" x14ac:dyDescent="0.2">
      <c r="A214" s="1" t="s">
        <v>663</v>
      </c>
    </row>
    <row r="215" spans="1:8" x14ac:dyDescent="0.2">
      <c r="A215" s="1" t="s">
        <v>661</v>
      </c>
    </row>
    <row r="217" spans="1:8" x14ac:dyDescent="0.2">
      <c r="A217" s="1" t="s">
        <v>664</v>
      </c>
      <c r="D217" s="1" t="s">
        <v>665</v>
      </c>
      <c r="E217" s="1" t="s">
        <v>677</v>
      </c>
    </row>
    <row r="218" spans="1:8" x14ac:dyDescent="0.2">
      <c r="A218" s="21" t="s">
        <v>673</v>
      </c>
      <c r="B218" s="1" t="s">
        <v>674</v>
      </c>
      <c r="D218" s="1" t="s">
        <v>666</v>
      </c>
      <c r="E218" s="1" t="s">
        <v>678</v>
      </c>
    </row>
    <row r="219" spans="1:8" x14ac:dyDescent="0.2">
      <c r="A219" s="21" t="s">
        <v>675</v>
      </c>
      <c r="B219" s="1" t="s">
        <v>676</v>
      </c>
      <c r="D219" s="1" t="s">
        <v>670</v>
      </c>
      <c r="E219" s="1" t="s">
        <v>679</v>
      </c>
    </row>
    <row r="220" spans="1:8" x14ac:dyDescent="0.2">
      <c r="D220" s="1" t="s">
        <v>671</v>
      </c>
      <c r="E220" s="1" t="s">
        <v>680</v>
      </c>
    </row>
    <row r="221" spans="1:8" x14ac:dyDescent="0.2">
      <c r="D221" s="1" t="s">
        <v>667</v>
      </c>
      <c r="E221" s="1" t="s">
        <v>681</v>
      </c>
    </row>
    <row r="222" spans="1:8" x14ac:dyDescent="0.2">
      <c r="D222" s="1" t="s">
        <v>669</v>
      </c>
      <c r="E222" s="1" t="s">
        <v>682</v>
      </c>
    </row>
    <row r="223" spans="1:8" x14ac:dyDescent="0.2">
      <c r="D223" s="1" t="s">
        <v>668</v>
      </c>
      <c r="E223" s="1" t="s">
        <v>683</v>
      </c>
    </row>
    <row r="224" spans="1:8" x14ac:dyDescent="0.2">
      <c r="D224" s="1" t="s">
        <v>672</v>
      </c>
      <c r="E224" s="1" t="s">
        <v>684</v>
      </c>
    </row>
    <row r="225" spans="1:8" ht="17" thickBot="1" x14ac:dyDescent="0.25"/>
    <row r="226" spans="1:8" x14ac:dyDescent="0.2">
      <c r="A226" s="46" t="s">
        <v>657</v>
      </c>
      <c r="B226" s="39"/>
      <c r="C226" s="39"/>
      <c r="D226" s="39"/>
      <c r="E226" s="39"/>
      <c r="F226" s="39"/>
      <c r="G226" s="39"/>
      <c r="H226" s="40"/>
    </row>
    <row r="227" spans="1:8" x14ac:dyDescent="0.2">
      <c r="A227" s="111" t="s">
        <v>603</v>
      </c>
      <c r="H227" s="42"/>
    </row>
    <row r="228" spans="1:8" x14ac:dyDescent="0.2">
      <c r="A228" s="111" t="s">
        <v>604</v>
      </c>
      <c r="H228" s="42"/>
    </row>
    <row r="229" spans="1:8" ht="17" thickBot="1" x14ac:dyDescent="0.25">
      <c r="A229" s="110" t="s">
        <v>605</v>
      </c>
      <c r="B229" s="44"/>
      <c r="C229" s="44"/>
      <c r="D229" s="44"/>
      <c r="E229" s="44"/>
      <c r="F229" s="44"/>
      <c r="G229" s="44"/>
      <c r="H229" s="45"/>
    </row>
    <row r="231" spans="1:8" x14ac:dyDescent="0.2">
      <c r="A231" s="1" t="s">
        <v>685</v>
      </c>
      <c r="C231" s="75" t="s">
        <v>368</v>
      </c>
      <c r="D231" s="75" t="s">
        <v>514</v>
      </c>
    </row>
    <row r="232" spans="1:8" x14ac:dyDescent="0.2">
      <c r="C232" s="21" t="s">
        <v>512</v>
      </c>
      <c r="D232" s="21">
        <v>30</v>
      </c>
    </row>
    <row r="233" spans="1:8" x14ac:dyDescent="0.2">
      <c r="C233" s="21" t="s">
        <v>513</v>
      </c>
      <c r="D233" s="21">
        <v>10</v>
      </c>
    </row>
    <row r="234" spans="1:8" x14ac:dyDescent="0.2">
      <c r="C234" s="21" t="s">
        <v>370</v>
      </c>
      <c r="D234" s="21">
        <v>40</v>
      </c>
    </row>
    <row r="235" spans="1:8" x14ac:dyDescent="0.2">
      <c r="C235" s="21" t="s">
        <v>502</v>
      </c>
      <c r="D235" s="21">
        <v>30</v>
      </c>
    </row>
    <row r="237" spans="1:8" x14ac:dyDescent="0.2">
      <c r="A237" s="1" t="s">
        <v>686</v>
      </c>
    </row>
    <row r="238" spans="1:8" x14ac:dyDescent="0.2">
      <c r="A238" s="1" t="s">
        <v>687</v>
      </c>
    </row>
    <row r="239" spans="1:8" x14ac:dyDescent="0.2">
      <c r="A239" s="1" t="s">
        <v>688</v>
      </c>
    </row>
    <row r="241" spans="1:7" x14ac:dyDescent="0.2">
      <c r="A241" s="4" t="s">
        <v>689</v>
      </c>
    </row>
    <row r="242" spans="1:7" x14ac:dyDescent="0.2">
      <c r="A242" s="1" t="s">
        <v>690</v>
      </c>
    </row>
    <row r="243" spans="1:7" x14ac:dyDescent="0.2">
      <c r="A243" s="1" t="s">
        <v>691</v>
      </c>
    </row>
    <row r="244" spans="1:7" x14ac:dyDescent="0.2">
      <c r="A244" s="1" t="s">
        <v>692</v>
      </c>
    </row>
    <row r="245" spans="1:7" x14ac:dyDescent="0.2">
      <c r="A245" s="1" t="s">
        <v>693</v>
      </c>
    </row>
    <row r="246" spans="1:7" x14ac:dyDescent="0.2">
      <c r="C246" s="57"/>
      <c r="D246" s="57"/>
      <c r="E246" s="57" t="s">
        <v>694</v>
      </c>
      <c r="F246" s="1" t="s">
        <v>699</v>
      </c>
    </row>
    <row r="247" spans="1:7" x14ac:dyDescent="0.2">
      <c r="E247" s="1" t="s">
        <v>695</v>
      </c>
    </row>
    <row r="248" spans="1:7" x14ac:dyDescent="0.2">
      <c r="E248" s="1" t="s">
        <v>696</v>
      </c>
    </row>
    <row r="249" spans="1:7" x14ac:dyDescent="0.2">
      <c r="A249" s="1" t="s">
        <v>697</v>
      </c>
    </row>
    <row r="250" spans="1:7" x14ac:dyDescent="0.2">
      <c r="A250" s="1" t="s">
        <v>698</v>
      </c>
    </row>
    <row r="252" spans="1:7" x14ac:dyDescent="0.2">
      <c r="E252" s="1" t="s">
        <v>213</v>
      </c>
    </row>
    <row r="253" spans="1:7" x14ac:dyDescent="0.2">
      <c r="E253" s="21" t="s">
        <v>262</v>
      </c>
    </row>
    <row r="254" spans="1:7" x14ac:dyDescent="0.2">
      <c r="G254" s="1" t="s">
        <v>700</v>
      </c>
    </row>
    <row r="255" spans="1:7" x14ac:dyDescent="0.2">
      <c r="G255" s="1" t="s">
        <v>701</v>
      </c>
    </row>
    <row r="259" spans="1:7" x14ac:dyDescent="0.2">
      <c r="A259" s="1" t="s">
        <v>69</v>
      </c>
      <c r="B259" s="21" t="s">
        <v>71</v>
      </c>
    </row>
    <row r="261" spans="1:7" x14ac:dyDescent="0.2">
      <c r="F261" s="349" t="s">
        <v>702</v>
      </c>
      <c r="G261" s="329"/>
    </row>
    <row r="262" spans="1:7" x14ac:dyDescent="0.2">
      <c r="F262" s="329"/>
      <c r="G262" s="329"/>
    </row>
    <row r="264" spans="1:7" x14ac:dyDescent="0.2">
      <c r="A264" s="1" t="s">
        <v>703</v>
      </c>
    </row>
    <row r="265" spans="1:7" x14ac:dyDescent="0.2">
      <c r="A265" s="1" t="s">
        <v>704</v>
      </c>
    </row>
    <row r="266" spans="1:7" x14ac:dyDescent="0.2">
      <c r="A266" s="1" t="s">
        <v>705</v>
      </c>
    </row>
    <row r="268" spans="1:7" x14ac:dyDescent="0.2">
      <c r="A268" s="1" t="s">
        <v>706</v>
      </c>
    </row>
    <row r="269" spans="1:7" x14ac:dyDescent="0.2">
      <c r="A269" s="1" t="s">
        <v>707</v>
      </c>
    </row>
    <row r="270" spans="1:7" x14ac:dyDescent="0.2">
      <c r="A270" s="1" t="s">
        <v>708</v>
      </c>
    </row>
    <row r="271" spans="1:7" x14ac:dyDescent="0.2">
      <c r="A271" s="1" t="s">
        <v>709</v>
      </c>
    </row>
    <row r="273" spans="1:5" x14ac:dyDescent="0.2">
      <c r="A273" s="1" t="s">
        <v>710</v>
      </c>
      <c r="E273" s="1" t="s">
        <v>213</v>
      </c>
    </row>
    <row r="274" spans="1:5" x14ac:dyDescent="0.2">
      <c r="E274" s="21" t="s">
        <v>262</v>
      </c>
    </row>
    <row r="280" spans="1:5" x14ac:dyDescent="0.2">
      <c r="B280" s="21" t="s">
        <v>71</v>
      </c>
    </row>
    <row r="285" spans="1:5" x14ac:dyDescent="0.2">
      <c r="A285" s="1" t="s">
        <v>711</v>
      </c>
    </row>
    <row r="286" spans="1:5" x14ac:dyDescent="0.2">
      <c r="A286" s="1" t="s">
        <v>712</v>
      </c>
    </row>
    <row r="287" spans="1:5" x14ac:dyDescent="0.2">
      <c r="A287" s="1" t="s">
        <v>713</v>
      </c>
    </row>
    <row r="288" spans="1:5" x14ac:dyDescent="0.2">
      <c r="A288" s="1" t="s">
        <v>714</v>
      </c>
    </row>
  </sheetData>
  <mergeCells count="1">
    <mergeCell ref="F261:G262"/>
  </mergeCells>
  <pageMargins left="0.7" right="0.7" top="0.75" bottom="0.75" header="0.3" footer="0.3"/>
  <pageSetup paperSize="9" scale="83" orientation="portrait" horizontalDpi="0" verticalDpi="0"/>
  <rowBreaks count="2" manualBreakCount="2">
    <brk id="184" max="16383" man="1"/>
    <brk id="240" max="16383" man="1"/>
  </rowBreaks>
  <ignoredErrors>
    <ignoredError sqref="E115:E128" formulaRange="1"/>
  </ignoredErrors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CDA61F-1FC7-5E47-A7E7-F7E78BD63F76}">
  <dimension ref="A1:H3"/>
  <sheetViews>
    <sheetView rightToLeft="1" zoomScale="220" workbookViewId="0">
      <selection activeCell="F25" sqref="F25"/>
    </sheetView>
  </sheetViews>
  <sheetFormatPr baseColWidth="10" defaultRowHeight="16" x14ac:dyDescent="0.2"/>
  <cols>
    <col min="1" max="16384" width="10.83203125" style="1"/>
  </cols>
  <sheetData>
    <row r="1" spans="1:8" x14ac:dyDescent="0.2">
      <c r="A1" s="61" t="s">
        <v>2463</v>
      </c>
      <c r="B1" s="2"/>
      <c r="C1" s="2"/>
      <c r="D1" s="2"/>
      <c r="E1" s="2"/>
      <c r="F1" s="2"/>
      <c r="G1" s="2"/>
      <c r="H1" s="3">
        <v>45679</v>
      </c>
    </row>
    <row r="3" spans="1:8" x14ac:dyDescent="0.2">
      <c r="A3" s="1" t="s">
        <v>2464</v>
      </c>
    </row>
  </sheetData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805BA5-B5FC-F043-9C39-36B6C2C81E67}">
  <dimension ref="A1:J138"/>
  <sheetViews>
    <sheetView rightToLeft="1" topLeftCell="A123" zoomScale="316" workbookViewId="0">
      <selection activeCell="H126" sqref="H126"/>
    </sheetView>
  </sheetViews>
  <sheetFormatPr baseColWidth="10" defaultRowHeight="16" x14ac:dyDescent="0.2"/>
  <cols>
    <col min="1" max="16384" width="10.83203125" style="1"/>
  </cols>
  <sheetData>
    <row r="1" spans="1:8" ht="18" x14ac:dyDescent="0.2">
      <c r="A1" s="350" t="s">
        <v>2495</v>
      </c>
      <c r="B1" s="350"/>
      <c r="C1" s="350"/>
      <c r="D1" s="350"/>
      <c r="E1" s="350"/>
      <c r="F1" s="350"/>
      <c r="G1" s="350"/>
      <c r="H1" s="350"/>
    </row>
    <row r="2" spans="1:8" ht="17" thickBot="1" x14ac:dyDescent="0.25"/>
    <row r="3" spans="1:8" ht="17" thickBot="1" x14ac:dyDescent="0.25">
      <c r="A3" s="5" t="s">
        <v>2473</v>
      </c>
      <c r="B3" s="8"/>
      <c r="C3" s="8"/>
      <c r="D3" s="8"/>
      <c r="E3" s="8"/>
      <c r="F3" s="8"/>
      <c r="G3" s="8"/>
      <c r="H3" s="9"/>
    </row>
    <row r="5" spans="1:8" x14ac:dyDescent="0.2">
      <c r="A5" s="1" t="s">
        <v>2221</v>
      </c>
      <c r="B5" s="1" t="s">
        <v>2222</v>
      </c>
    </row>
    <row r="6" spans="1:8" x14ac:dyDescent="0.2">
      <c r="B6" s="1" t="s">
        <v>2223</v>
      </c>
    </row>
    <row r="7" spans="1:8" x14ac:dyDescent="0.2">
      <c r="B7" s="1" t="s">
        <v>2224</v>
      </c>
    </row>
    <row r="8" spans="1:8" x14ac:dyDescent="0.2">
      <c r="B8" s="1" t="s">
        <v>2474</v>
      </c>
    </row>
    <row r="9" spans="1:8" ht="17" thickBot="1" x14ac:dyDescent="0.25"/>
    <row r="10" spans="1:8" ht="17" thickBot="1" x14ac:dyDescent="0.25">
      <c r="A10" s="5" t="s">
        <v>2226</v>
      </c>
      <c r="B10" s="8"/>
      <c r="C10" s="8"/>
      <c r="D10" s="8"/>
      <c r="E10" s="8"/>
      <c r="F10" s="8"/>
      <c r="G10" s="8"/>
      <c r="H10" s="9"/>
    </row>
    <row r="12" spans="1:8" x14ac:dyDescent="0.2">
      <c r="A12" s="1" t="s">
        <v>2496</v>
      </c>
    </row>
    <row r="13" spans="1:8" x14ac:dyDescent="0.2">
      <c r="A13" s="1" t="s">
        <v>2497</v>
      </c>
    </row>
    <row r="14" spans="1:8" x14ac:dyDescent="0.2">
      <c r="A14" s="1" t="s">
        <v>2475</v>
      </c>
    </row>
    <row r="15" spans="1:8" x14ac:dyDescent="0.2">
      <c r="A15" s="1" t="s">
        <v>2476</v>
      </c>
    </row>
    <row r="16" spans="1:8" x14ac:dyDescent="0.2">
      <c r="A16" s="1" t="s">
        <v>2477</v>
      </c>
    </row>
    <row r="18" spans="1:10" x14ac:dyDescent="0.2">
      <c r="A18" s="1" t="s">
        <v>2478</v>
      </c>
    </row>
    <row r="20" spans="1:10" x14ac:dyDescent="0.2">
      <c r="A20" s="1" t="s">
        <v>641</v>
      </c>
      <c r="B20" s="1" t="s">
        <v>2479</v>
      </c>
      <c r="J20" s="1" t="s">
        <v>2498</v>
      </c>
    </row>
    <row r="21" spans="1:10" x14ac:dyDescent="0.2">
      <c r="A21" s="1" t="s">
        <v>2520</v>
      </c>
      <c r="B21" s="1" t="s">
        <v>2480</v>
      </c>
      <c r="J21" s="1" t="s">
        <v>2499</v>
      </c>
    </row>
    <row r="22" spans="1:10" x14ac:dyDescent="0.2">
      <c r="B22" s="1" t="s">
        <v>2481</v>
      </c>
      <c r="I22" s="334"/>
      <c r="J22" s="1" t="s">
        <v>2500</v>
      </c>
    </row>
    <row r="23" spans="1:10" x14ac:dyDescent="0.2">
      <c r="B23" s="1" t="s">
        <v>2482</v>
      </c>
      <c r="I23" s="334"/>
      <c r="J23" s="1" t="s">
        <v>2501</v>
      </c>
    </row>
    <row r="24" spans="1:10" x14ac:dyDescent="0.2">
      <c r="B24" s="1" t="s">
        <v>2483</v>
      </c>
      <c r="J24" s="1" t="s">
        <v>2502</v>
      </c>
    </row>
    <row r="25" spans="1:10" x14ac:dyDescent="0.2">
      <c r="B25" s="1" t="s">
        <v>2486</v>
      </c>
      <c r="J25" s="1" t="s">
        <v>2503</v>
      </c>
    </row>
    <row r="26" spans="1:10" x14ac:dyDescent="0.2">
      <c r="J26" s="1" t="s">
        <v>2504</v>
      </c>
    </row>
    <row r="27" spans="1:10" x14ac:dyDescent="0.2">
      <c r="A27" s="1" t="s">
        <v>643</v>
      </c>
      <c r="B27" s="1" t="s">
        <v>2484</v>
      </c>
      <c r="J27" s="1" t="s">
        <v>2505</v>
      </c>
    </row>
    <row r="28" spans="1:10" x14ac:dyDescent="0.2">
      <c r="A28" s="1" t="s">
        <v>2521</v>
      </c>
      <c r="B28" s="1" t="s">
        <v>2485</v>
      </c>
      <c r="J28" s="1" t="s">
        <v>2506</v>
      </c>
    </row>
    <row r="29" spans="1:10" x14ac:dyDescent="0.2">
      <c r="B29" s="1" t="s">
        <v>2508</v>
      </c>
      <c r="J29" s="1" t="s">
        <v>2507</v>
      </c>
    </row>
    <row r="31" spans="1:10" x14ac:dyDescent="0.2">
      <c r="A31" s="1" t="s">
        <v>645</v>
      </c>
      <c r="B31" s="1" t="s">
        <v>2487</v>
      </c>
      <c r="J31" s="1" t="s">
        <v>2510</v>
      </c>
    </row>
    <row r="32" spans="1:10" x14ac:dyDescent="0.2">
      <c r="A32" s="1" t="s">
        <v>2522</v>
      </c>
      <c r="B32" s="1" t="s">
        <v>2509</v>
      </c>
      <c r="J32" s="1" t="s">
        <v>2511</v>
      </c>
    </row>
    <row r="33" spans="1:10" x14ac:dyDescent="0.2">
      <c r="A33" s="1" t="s">
        <v>2523</v>
      </c>
      <c r="B33" s="1" t="s">
        <v>2488</v>
      </c>
      <c r="J33" s="1" t="s">
        <v>2512</v>
      </c>
    </row>
    <row r="34" spans="1:10" x14ac:dyDescent="0.2">
      <c r="A34" s="1" t="s">
        <v>2524</v>
      </c>
      <c r="B34" s="1" t="s">
        <v>2517</v>
      </c>
      <c r="J34" s="1" t="s">
        <v>2513</v>
      </c>
    </row>
    <row r="35" spans="1:10" x14ac:dyDescent="0.2">
      <c r="A35" s="1" t="s">
        <v>2525</v>
      </c>
      <c r="B35" s="1" t="s">
        <v>2489</v>
      </c>
      <c r="J35" s="1" t="s">
        <v>2514</v>
      </c>
    </row>
    <row r="36" spans="1:10" x14ac:dyDescent="0.2">
      <c r="B36" s="1" t="s">
        <v>2490</v>
      </c>
      <c r="J36" s="1" t="s">
        <v>2515</v>
      </c>
    </row>
    <row r="37" spans="1:10" x14ac:dyDescent="0.2">
      <c r="J37" s="1" t="s">
        <v>2516</v>
      </c>
    </row>
    <row r="38" spans="1:10" x14ac:dyDescent="0.2">
      <c r="J38" s="1" t="s">
        <v>2513</v>
      </c>
    </row>
    <row r="39" spans="1:10" x14ac:dyDescent="0.2">
      <c r="J39" s="1" t="s">
        <v>2518</v>
      </c>
    </row>
    <row r="40" spans="1:10" x14ac:dyDescent="0.2">
      <c r="J40" s="1" t="s">
        <v>2519</v>
      </c>
    </row>
    <row r="42" spans="1:10" x14ac:dyDescent="0.2">
      <c r="A42" s="1" t="s">
        <v>647</v>
      </c>
      <c r="B42" s="1" t="s">
        <v>2491</v>
      </c>
    </row>
    <row r="43" spans="1:10" x14ac:dyDescent="0.2">
      <c r="A43" s="1" t="s">
        <v>2522</v>
      </c>
      <c r="B43" s="1" t="s">
        <v>2492</v>
      </c>
    </row>
    <row r="44" spans="1:10" x14ac:dyDescent="0.2">
      <c r="A44" s="1" t="s">
        <v>2526</v>
      </c>
    </row>
    <row r="45" spans="1:10" x14ac:dyDescent="0.2">
      <c r="A45" s="1" t="s">
        <v>2527</v>
      </c>
    </row>
    <row r="47" spans="1:10" x14ac:dyDescent="0.2">
      <c r="A47" s="1" t="s">
        <v>648</v>
      </c>
      <c r="B47" s="1" t="s">
        <v>2528</v>
      </c>
    </row>
    <row r="48" spans="1:10" x14ac:dyDescent="0.2">
      <c r="B48" s="4" t="s">
        <v>2493</v>
      </c>
      <c r="C48" s="4"/>
      <c r="D48" s="4"/>
      <c r="E48" s="4"/>
      <c r="F48" s="4"/>
      <c r="G48" s="4"/>
      <c r="H48" s="4"/>
    </row>
    <row r="49" spans="1:8" x14ac:dyDescent="0.2">
      <c r="B49" s="4" t="s">
        <v>2494</v>
      </c>
      <c r="C49" s="4"/>
      <c r="D49" s="4"/>
      <c r="E49" s="4"/>
      <c r="F49" s="4"/>
      <c r="G49" s="4"/>
      <c r="H49" s="4"/>
    </row>
    <row r="53" spans="1:8" x14ac:dyDescent="0.2">
      <c r="A53" s="1" t="s">
        <v>2529</v>
      </c>
    </row>
    <row r="55" spans="1:8" x14ac:dyDescent="0.2">
      <c r="A55" s="325" t="s">
        <v>2530</v>
      </c>
      <c r="B55" s="326"/>
      <c r="C55" s="326"/>
      <c r="D55" s="326"/>
      <c r="E55" s="326"/>
      <c r="F55" s="326"/>
      <c r="G55" s="326"/>
      <c r="H55" s="326"/>
    </row>
    <row r="56" spans="1:8" x14ac:dyDescent="0.2">
      <c r="A56" s="1" t="s">
        <v>2531</v>
      </c>
    </row>
    <row r="57" spans="1:8" x14ac:dyDescent="0.2">
      <c r="A57" s="1" t="s">
        <v>2532</v>
      </c>
    </row>
    <row r="58" spans="1:8" x14ac:dyDescent="0.2">
      <c r="A58" s="1" t="s">
        <v>2533</v>
      </c>
    </row>
    <row r="59" spans="1:8" x14ac:dyDescent="0.2">
      <c r="A59" s="1" t="s">
        <v>2534</v>
      </c>
    </row>
    <row r="60" spans="1:8" x14ac:dyDescent="0.2">
      <c r="A60" s="1" t="s">
        <v>2535</v>
      </c>
    </row>
    <row r="61" spans="1:8" x14ac:dyDescent="0.2">
      <c r="A61" s="1" t="s">
        <v>2536</v>
      </c>
    </row>
    <row r="62" spans="1:8" x14ac:dyDescent="0.2">
      <c r="A62" s="1" t="s">
        <v>2537</v>
      </c>
    </row>
    <row r="63" spans="1:8" x14ac:dyDescent="0.2">
      <c r="A63" s="1" t="s">
        <v>2538</v>
      </c>
    </row>
    <row r="64" spans="1:8" x14ac:dyDescent="0.2">
      <c r="A64" s="1" t="s">
        <v>2539</v>
      </c>
    </row>
    <row r="65" spans="1:8" x14ac:dyDescent="0.2">
      <c r="A65" s="1" t="s">
        <v>2540</v>
      </c>
    </row>
    <row r="66" spans="1:8" x14ac:dyDescent="0.2">
      <c r="A66" s="1" t="s">
        <v>2541</v>
      </c>
    </row>
    <row r="67" spans="1:8" x14ac:dyDescent="0.2">
      <c r="A67" s="1" t="s">
        <v>2542</v>
      </c>
    </row>
    <row r="68" spans="1:8" x14ac:dyDescent="0.2">
      <c r="A68" s="1" t="s">
        <v>2543</v>
      </c>
    </row>
    <row r="70" spans="1:8" x14ac:dyDescent="0.2">
      <c r="A70" s="325" t="s">
        <v>2544</v>
      </c>
      <c r="B70" s="326"/>
      <c r="C70" s="326"/>
      <c r="D70" s="326"/>
      <c r="E70" s="326"/>
      <c r="F70" s="326"/>
      <c r="G70" s="326"/>
      <c r="H70" s="326"/>
    </row>
    <row r="71" spans="1:8" x14ac:dyDescent="0.2">
      <c r="A71" s="1" t="s">
        <v>2545</v>
      </c>
    </row>
    <row r="72" spans="1:8" x14ac:dyDescent="0.2">
      <c r="A72" s="1" t="s">
        <v>2546</v>
      </c>
    </row>
    <row r="73" spans="1:8" x14ac:dyDescent="0.2">
      <c r="A73" s="1" t="s">
        <v>2547</v>
      </c>
    </row>
    <row r="75" spans="1:8" x14ac:dyDescent="0.2">
      <c r="A75" s="325" t="s">
        <v>2548</v>
      </c>
      <c r="B75" s="326"/>
      <c r="C75" s="326"/>
      <c r="D75" s="326"/>
      <c r="E75" s="326"/>
      <c r="F75" s="326"/>
      <c r="G75" s="326"/>
      <c r="H75" s="326"/>
    </row>
    <row r="76" spans="1:8" x14ac:dyDescent="0.2">
      <c r="A76" s="1" t="s">
        <v>2549</v>
      </c>
    </row>
    <row r="77" spans="1:8" x14ac:dyDescent="0.2">
      <c r="A77" s="1" t="s">
        <v>2550</v>
      </c>
    </row>
    <row r="78" spans="1:8" x14ac:dyDescent="0.2">
      <c r="A78" s="1" t="s">
        <v>2551</v>
      </c>
    </row>
    <row r="79" spans="1:8" x14ac:dyDescent="0.2">
      <c r="A79" s="1" t="s">
        <v>2552</v>
      </c>
    </row>
    <row r="80" spans="1:8" x14ac:dyDescent="0.2">
      <c r="A80" s="1" t="s">
        <v>2553</v>
      </c>
    </row>
    <row r="81" spans="1:8" x14ac:dyDescent="0.2">
      <c r="A81" s="1" t="s">
        <v>2554</v>
      </c>
    </row>
    <row r="82" spans="1:8" x14ac:dyDescent="0.2">
      <c r="A82" s="1" t="s">
        <v>2555</v>
      </c>
    </row>
    <row r="83" spans="1:8" x14ac:dyDescent="0.2">
      <c r="A83" s="1" t="s">
        <v>2556</v>
      </c>
    </row>
    <row r="84" spans="1:8" x14ac:dyDescent="0.2">
      <c r="A84" s="1" t="s">
        <v>2557</v>
      </c>
    </row>
    <row r="86" spans="1:8" x14ac:dyDescent="0.2">
      <c r="A86" s="1" t="s">
        <v>2558</v>
      </c>
    </row>
    <row r="87" spans="1:8" x14ac:dyDescent="0.2">
      <c r="A87" s="1" t="s">
        <v>2559</v>
      </c>
    </row>
    <row r="89" spans="1:8" x14ac:dyDescent="0.2">
      <c r="A89" s="325" t="s">
        <v>2560</v>
      </c>
      <c r="B89" s="326"/>
      <c r="C89" s="326"/>
      <c r="D89" s="326"/>
      <c r="E89" s="326"/>
      <c r="F89" s="326"/>
      <c r="G89" s="326"/>
      <c r="H89" s="326"/>
    </row>
    <row r="90" spans="1:8" x14ac:dyDescent="0.2">
      <c r="A90" s="325" t="s">
        <v>2561</v>
      </c>
      <c r="B90" s="326"/>
      <c r="C90" s="326"/>
      <c r="D90" s="326"/>
      <c r="E90" s="326"/>
      <c r="F90" s="326"/>
      <c r="G90" s="326"/>
      <c r="H90" s="326"/>
    </row>
    <row r="91" spans="1:8" x14ac:dyDescent="0.2">
      <c r="A91" s="325" t="s">
        <v>2562</v>
      </c>
      <c r="B91" s="326"/>
      <c r="C91" s="326"/>
      <c r="D91" s="326"/>
      <c r="E91" s="326"/>
      <c r="F91" s="326"/>
      <c r="G91" s="326"/>
      <c r="H91" s="326"/>
    </row>
    <row r="93" spans="1:8" x14ac:dyDescent="0.2">
      <c r="A93" s="1" t="s">
        <v>2563</v>
      </c>
    </row>
    <row r="94" spans="1:8" x14ac:dyDescent="0.2">
      <c r="A94" s="1" t="s">
        <v>2564</v>
      </c>
    </row>
    <row r="95" spans="1:8" x14ac:dyDescent="0.2">
      <c r="A95" s="1" t="s">
        <v>2565</v>
      </c>
    </row>
    <row r="96" spans="1:8" x14ac:dyDescent="0.2">
      <c r="A96" s="1" t="s">
        <v>2566</v>
      </c>
    </row>
    <row r="97" spans="1:8" x14ac:dyDescent="0.2">
      <c r="A97" s="1" t="s">
        <v>2567</v>
      </c>
    </row>
    <row r="99" spans="1:8" x14ac:dyDescent="0.2">
      <c r="A99" s="325" t="s">
        <v>2568</v>
      </c>
      <c r="B99" s="326"/>
      <c r="C99" s="326"/>
      <c r="D99" s="326"/>
      <c r="E99" s="326"/>
      <c r="F99" s="326"/>
      <c r="G99" s="326"/>
      <c r="H99" s="326"/>
    </row>
    <row r="101" spans="1:8" x14ac:dyDescent="0.2">
      <c r="A101" s="1" t="s">
        <v>2569</v>
      </c>
    </row>
    <row r="102" spans="1:8" x14ac:dyDescent="0.2">
      <c r="A102" s="1" t="s">
        <v>2570</v>
      </c>
    </row>
    <row r="103" spans="1:8" x14ac:dyDescent="0.2">
      <c r="A103" s="1" t="s">
        <v>2571</v>
      </c>
    </row>
    <row r="105" spans="1:8" x14ac:dyDescent="0.2">
      <c r="A105" s="1" t="s">
        <v>2572</v>
      </c>
    </row>
    <row r="106" spans="1:8" x14ac:dyDescent="0.2">
      <c r="A106" s="1" t="s">
        <v>2573</v>
      </c>
    </row>
    <row r="108" spans="1:8" x14ac:dyDescent="0.2">
      <c r="A108" s="1" t="s">
        <v>2574</v>
      </c>
    </row>
    <row r="109" spans="1:8" x14ac:dyDescent="0.2">
      <c r="A109" s="1" t="s">
        <v>2575</v>
      </c>
    </row>
    <row r="111" spans="1:8" x14ac:dyDescent="0.2">
      <c r="A111" s="1" t="s">
        <v>2576</v>
      </c>
    </row>
    <row r="112" spans="1:8" x14ac:dyDescent="0.2">
      <c r="A112" s="1" t="s">
        <v>2577</v>
      </c>
    </row>
    <row r="113" spans="1:8" x14ac:dyDescent="0.2">
      <c r="A113" s="1" t="s">
        <v>2578</v>
      </c>
    </row>
    <row r="114" spans="1:8" x14ac:dyDescent="0.2">
      <c r="A114" s="1" t="s">
        <v>2579</v>
      </c>
    </row>
    <row r="119" spans="1:8" x14ac:dyDescent="0.2">
      <c r="A119" s="1" t="s">
        <v>2580</v>
      </c>
    </row>
    <row r="120" spans="1:8" x14ac:dyDescent="0.2">
      <c r="A120" s="1" t="s">
        <v>2581</v>
      </c>
    </row>
    <row r="122" spans="1:8" x14ac:dyDescent="0.2">
      <c r="A122" s="1" t="s">
        <v>2582</v>
      </c>
    </row>
    <row r="125" spans="1:8" x14ac:dyDescent="0.2">
      <c r="A125" s="1" t="s">
        <v>2583</v>
      </c>
    </row>
    <row r="128" spans="1:8" x14ac:dyDescent="0.2">
      <c r="A128" s="325" t="s">
        <v>2584</v>
      </c>
      <c r="B128" s="326"/>
      <c r="C128" s="326"/>
      <c r="D128" s="326"/>
      <c r="E128" s="326"/>
      <c r="F128" s="326"/>
      <c r="G128" s="326"/>
      <c r="H128" s="326"/>
    </row>
    <row r="130" spans="1:7" x14ac:dyDescent="0.2">
      <c r="A130" s="1" t="s">
        <v>2585</v>
      </c>
    </row>
    <row r="131" spans="1:7" x14ac:dyDescent="0.2">
      <c r="A131" s="1" t="s">
        <v>2586</v>
      </c>
    </row>
    <row r="132" spans="1:7" x14ac:dyDescent="0.2">
      <c r="A132" s="1" t="s">
        <v>2587</v>
      </c>
    </row>
    <row r="133" spans="1:7" x14ac:dyDescent="0.2">
      <c r="A133" s="1" t="s">
        <v>2588</v>
      </c>
    </row>
    <row r="134" spans="1:7" x14ac:dyDescent="0.2">
      <c r="A134" s="1" t="s">
        <v>2589</v>
      </c>
    </row>
    <row r="135" spans="1:7" x14ac:dyDescent="0.2">
      <c r="A135" s="1" t="s">
        <v>2590</v>
      </c>
    </row>
    <row r="136" spans="1:7" x14ac:dyDescent="0.2">
      <c r="A136" s="1" t="s">
        <v>2591</v>
      </c>
    </row>
    <row r="138" spans="1:7" x14ac:dyDescent="0.2">
      <c r="A138" s="1" t="s">
        <v>2592</v>
      </c>
      <c r="G138" s="327" t="s">
        <v>2593</v>
      </c>
    </row>
  </sheetData>
  <mergeCells count="2">
    <mergeCell ref="I22:I23"/>
    <mergeCell ref="A1:H1"/>
  </mergeCells>
  <hyperlinks>
    <hyperlink ref="G138" r:id="rId1" xr:uid="{06A2F18F-1D81-3146-AA0F-3BE0C00F1087}"/>
  </hyperlinks>
  <pageMargins left="0.7" right="0.7" top="0.75" bottom="0.75" header="0.3" footer="0.3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79FDF1-D823-2048-87C1-D0A04ABA7E53}">
  <dimension ref="A2:H459"/>
  <sheetViews>
    <sheetView rightToLeft="1" topLeftCell="A6" zoomScale="339" zoomScaleNormal="320" zoomScaleSheetLayoutView="150" workbookViewId="0">
      <selection activeCell="J18" sqref="J18"/>
    </sheetView>
  </sheetViews>
  <sheetFormatPr baseColWidth="10" defaultRowHeight="16" x14ac:dyDescent="0.2"/>
  <cols>
    <col min="1" max="1" width="13.1640625" customWidth="1"/>
  </cols>
  <sheetData>
    <row r="2" spans="1:8" s="1" customFormat="1" x14ac:dyDescent="0.2">
      <c r="A2" s="61" t="s">
        <v>2465</v>
      </c>
      <c r="B2" s="2"/>
      <c r="C2" s="2"/>
      <c r="D2" s="2"/>
      <c r="E2" s="2"/>
      <c r="F2" s="2"/>
      <c r="G2" s="3"/>
      <c r="H2" s="3"/>
    </row>
    <row r="3" spans="1:8" s="1" customFormat="1" x14ac:dyDescent="0.2">
      <c r="A3" s="160"/>
      <c r="B3" s="4"/>
      <c r="C3" s="4"/>
      <c r="D3" s="4"/>
      <c r="E3" s="4"/>
      <c r="F3" s="4"/>
      <c r="G3" s="4"/>
      <c r="H3" s="232"/>
    </row>
    <row r="4" spans="1:8" s="1" customFormat="1" ht="17" thickBot="1" x14ac:dyDescent="0.25">
      <c r="A4" s="62"/>
      <c r="H4" s="233"/>
    </row>
    <row r="5" spans="1:8" s="1" customFormat="1" x14ac:dyDescent="0.2">
      <c r="A5" s="69" t="s">
        <v>1599</v>
      </c>
      <c r="B5" s="113"/>
      <c r="C5" s="113"/>
      <c r="D5" s="113"/>
      <c r="E5" s="113"/>
      <c r="F5" s="113"/>
      <c r="G5" s="113"/>
      <c r="H5" s="236"/>
    </row>
    <row r="6" spans="1:8" s="1" customFormat="1" x14ac:dyDescent="0.2">
      <c r="A6" s="64" t="s">
        <v>1600</v>
      </c>
      <c r="B6" s="4"/>
      <c r="C6" s="4"/>
      <c r="D6" s="4"/>
      <c r="E6" s="4"/>
      <c r="F6" s="4"/>
      <c r="G6" s="4"/>
      <c r="H6" s="237"/>
    </row>
    <row r="7" spans="1:8" s="1" customFormat="1" x14ac:dyDescent="0.2">
      <c r="A7" s="64" t="s">
        <v>1601</v>
      </c>
      <c r="B7" s="4"/>
      <c r="C7" s="4"/>
      <c r="D7" s="4"/>
      <c r="E7" s="4"/>
      <c r="F7" s="4"/>
      <c r="G7" s="4"/>
      <c r="H7" s="237"/>
    </row>
    <row r="8" spans="1:8" s="1" customFormat="1" x14ac:dyDescent="0.2">
      <c r="A8" s="64" t="s">
        <v>1602</v>
      </c>
      <c r="B8" s="4"/>
      <c r="C8" s="4"/>
      <c r="D8" s="4"/>
      <c r="E8" s="4"/>
      <c r="F8" s="4"/>
      <c r="G8" s="4"/>
      <c r="H8" s="237"/>
    </row>
    <row r="9" spans="1:8" s="1" customFormat="1" x14ac:dyDescent="0.2">
      <c r="A9" s="64"/>
      <c r="B9" s="4"/>
      <c r="C9" s="4"/>
      <c r="D9" s="4"/>
      <c r="E9" s="4"/>
      <c r="F9" s="4"/>
      <c r="G9" s="4"/>
      <c r="H9" s="237"/>
    </row>
    <row r="10" spans="1:8" s="1" customFormat="1" ht="17" thickBot="1" x14ac:dyDescent="0.25">
      <c r="A10" s="65" t="s">
        <v>1688</v>
      </c>
      <c r="B10" s="115"/>
      <c r="C10" s="115"/>
      <c r="D10" s="115"/>
      <c r="E10" s="115"/>
      <c r="F10" s="115"/>
      <c r="G10" s="115"/>
      <c r="H10" s="238"/>
    </row>
    <row r="11" spans="1:8" s="1" customFormat="1" ht="17" thickBot="1" x14ac:dyDescent="0.25">
      <c r="A11" s="62"/>
      <c r="B11" s="4"/>
      <c r="C11" s="4"/>
      <c r="D11" s="4"/>
      <c r="E11" s="4"/>
      <c r="F11" s="4"/>
      <c r="G11" s="4"/>
      <c r="H11" s="232"/>
    </row>
    <row r="12" spans="1:8" s="1" customFormat="1" x14ac:dyDescent="0.2">
      <c r="A12" s="69" t="s">
        <v>1603</v>
      </c>
      <c r="B12" s="113"/>
      <c r="C12" s="113"/>
      <c r="D12" s="113"/>
      <c r="E12" s="113"/>
      <c r="F12" s="113"/>
      <c r="G12" s="113"/>
      <c r="H12" s="236"/>
    </row>
    <row r="13" spans="1:8" s="1" customFormat="1" x14ac:dyDescent="0.2">
      <c r="A13" s="64" t="s">
        <v>1604</v>
      </c>
      <c r="B13" s="4"/>
      <c r="C13" s="4"/>
      <c r="D13" s="4"/>
      <c r="E13" s="4"/>
      <c r="F13" s="4"/>
      <c r="G13" s="4"/>
      <c r="H13" s="237"/>
    </row>
    <row r="14" spans="1:8" s="1" customFormat="1" ht="17" thickBot="1" x14ac:dyDescent="0.25">
      <c r="A14" s="65" t="s">
        <v>1605</v>
      </c>
      <c r="B14" s="115"/>
      <c r="C14" s="115"/>
      <c r="D14" s="115"/>
      <c r="E14" s="115"/>
      <c r="F14" s="115"/>
      <c r="G14" s="115"/>
      <c r="H14" s="238"/>
    </row>
    <row r="15" spans="1:8" s="1" customFormat="1" ht="17" thickBot="1" x14ac:dyDescent="0.25">
      <c r="A15" s="62"/>
      <c r="B15" s="4"/>
      <c r="C15" s="4"/>
      <c r="D15" s="4"/>
      <c r="E15" s="4"/>
      <c r="F15" s="4"/>
      <c r="G15" s="4"/>
      <c r="H15" s="232"/>
    </row>
    <row r="16" spans="1:8" s="1" customFormat="1" x14ac:dyDescent="0.2">
      <c r="A16" s="69" t="s">
        <v>1606</v>
      </c>
      <c r="B16" s="113"/>
      <c r="C16" s="113"/>
      <c r="D16" s="113"/>
      <c r="E16" s="113"/>
      <c r="F16" s="113"/>
      <c r="G16" s="113"/>
      <c r="H16" s="236"/>
    </row>
    <row r="17" spans="1:8" s="1" customFormat="1" ht="17" thickBot="1" x14ac:dyDescent="0.25">
      <c r="A17" s="65" t="s">
        <v>1689</v>
      </c>
      <c r="B17" s="115"/>
      <c r="C17" s="115"/>
      <c r="D17" s="115"/>
      <c r="E17" s="115"/>
      <c r="F17" s="115"/>
      <c r="G17" s="115"/>
      <c r="H17" s="238"/>
    </row>
    <row r="18" spans="1:8" s="1" customFormat="1" ht="17" thickBot="1" x14ac:dyDescent="0.25">
      <c r="A18" s="62"/>
      <c r="B18" s="4"/>
      <c r="C18" s="4"/>
      <c r="D18" s="4"/>
      <c r="E18" s="4"/>
      <c r="F18" s="4"/>
      <c r="G18" s="4"/>
      <c r="H18" s="232"/>
    </row>
    <row r="19" spans="1:8" s="1" customFormat="1" x14ac:dyDescent="0.2">
      <c r="A19" s="63"/>
      <c r="B19" s="113"/>
      <c r="C19" s="114"/>
      <c r="D19" s="46"/>
      <c r="E19" s="113"/>
      <c r="F19" s="113"/>
      <c r="G19" s="113"/>
      <c r="H19" s="236"/>
    </row>
    <row r="20" spans="1:8" s="1" customFormat="1" x14ac:dyDescent="0.2">
      <c r="A20" s="245" t="s">
        <v>1682</v>
      </c>
      <c r="B20" s="4"/>
      <c r="C20" s="96"/>
      <c r="D20" s="111"/>
      <c r="E20" s="4"/>
      <c r="F20" s="4"/>
      <c r="G20" s="4"/>
      <c r="H20" s="237"/>
    </row>
    <row r="21" spans="1:8" s="1" customFormat="1" x14ac:dyDescent="0.2">
      <c r="A21" s="245" t="s">
        <v>1683</v>
      </c>
      <c r="B21" s="4"/>
      <c r="C21" s="96"/>
      <c r="D21" s="111"/>
      <c r="E21" s="4"/>
      <c r="F21" s="4"/>
      <c r="G21" s="4"/>
      <c r="H21" s="237"/>
    </row>
    <row r="22" spans="1:8" s="1" customFormat="1" ht="17" thickBot="1" x14ac:dyDescent="0.25">
      <c r="A22" s="246" t="s">
        <v>1684</v>
      </c>
      <c r="B22" s="115"/>
      <c r="C22" s="116"/>
      <c r="D22" s="111"/>
      <c r="E22" s="4"/>
      <c r="F22" s="4"/>
      <c r="G22" s="4"/>
      <c r="H22" s="237"/>
    </row>
    <row r="23" spans="1:8" s="1" customFormat="1" x14ac:dyDescent="0.2">
      <c r="A23" s="160"/>
      <c r="B23" s="4"/>
      <c r="C23" s="4"/>
      <c r="D23" s="111"/>
      <c r="E23" s="4"/>
      <c r="F23" s="4"/>
      <c r="G23" s="4"/>
      <c r="H23" s="237"/>
    </row>
    <row r="24" spans="1:8" s="1" customFormat="1" x14ac:dyDescent="0.2">
      <c r="A24" s="160"/>
      <c r="B24" s="4"/>
      <c r="C24" s="4"/>
      <c r="D24" s="111"/>
      <c r="E24" s="4"/>
      <c r="F24" s="4"/>
      <c r="G24" s="4"/>
      <c r="H24" s="237"/>
    </row>
    <row r="25" spans="1:8" s="1" customFormat="1" x14ac:dyDescent="0.2">
      <c r="A25" s="160"/>
      <c r="B25" s="4"/>
      <c r="C25" s="4"/>
      <c r="D25" s="111"/>
      <c r="E25" s="4"/>
      <c r="F25" s="4"/>
      <c r="G25" s="4"/>
      <c r="H25" s="237"/>
    </row>
    <row r="26" spans="1:8" s="1" customFormat="1" ht="17" thickBot="1" x14ac:dyDescent="0.25">
      <c r="A26" s="160"/>
      <c r="B26" s="4"/>
      <c r="C26" s="4"/>
      <c r="D26" s="110"/>
      <c r="E26" s="115"/>
      <c r="F26" s="115"/>
      <c r="G26" s="115"/>
      <c r="H26" s="238"/>
    </row>
    <row r="27" spans="1:8" s="1" customFormat="1" ht="17" thickBot="1" x14ac:dyDescent="0.25">
      <c r="A27" s="160"/>
      <c r="B27" s="4"/>
      <c r="C27" s="4"/>
      <c r="D27" s="4"/>
      <c r="E27" s="4"/>
      <c r="F27" s="4"/>
      <c r="G27" s="4"/>
      <c r="H27" s="232"/>
    </row>
    <row r="28" spans="1:8" s="1" customFormat="1" ht="17" thickBot="1" x14ac:dyDescent="0.25">
      <c r="A28" s="234" t="s">
        <v>1607</v>
      </c>
      <c r="B28" s="8"/>
      <c r="C28" s="8"/>
      <c r="D28" s="8"/>
      <c r="E28" s="8"/>
      <c r="F28" s="8"/>
      <c r="G28" s="8"/>
      <c r="H28" s="235"/>
    </row>
    <row r="29" spans="1:8" s="1" customFormat="1" x14ac:dyDescent="0.2">
      <c r="A29" s="160"/>
      <c r="B29" s="4"/>
      <c r="C29" s="4"/>
      <c r="D29" s="4"/>
      <c r="E29" s="4"/>
      <c r="F29" s="4"/>
      <c r="G29" s="4"/>
      <c r="H29" s="232"/>
    </row>
    <row r="30" spans="1:8" s="1" customFormat="1" x14ac:dyDescent="0.2">
      <c r="A30" s="160"/>
      <c r="B30" s="4"/>
      <c r="C30" s="4"/>
      <c r="D30" s="4"/>
      <c r="E30" s="4"/>
      <c r="F30" s="4"/>
      <c r="G30" s="4"/>
      <c r="H30" s="232"/>
    </row>
    <row r="31" spans="1:8" s="1" customFormat="1" x14ac:dyDescent="0.2">
      <c r="A31" s="160"/>
      <c r="B31" s="4"/>
      <c r="C31" s="4"/>
      <c r="D31" s="4"/>
      <c r="E31" s="4"/>
      <c r="F31" s="4"/>
      <c r="G31" s="4"/>
      <c r="H31" s="232"/>
    </row>
    <row r="32" spans="1:8" s="1" customFormat="1" x14ac:dyDescent="0.2">
      <c r="A32" s="160"/>
      <c r="B32" s="4"/>
      <c r="C32" s="4"/>
      <c r="D32" s="4"/>
      <c r="E32" s="4"/>
      <c r="F32" s="4"/>
      <c r="G32" s="4"/>
      <c r="H32" s="232"/>
    </row>
    <row r="33" spans="1:8" s="1" customFormat="1" x14ac:dyDescent="0.2">
      <c r="A33" s="160"/>
      <c r="B33" s="4"/>
      <c r="C33" s="4"/>
      <c r="D33" s="4"/>
      <c r="E33" s="4"/>
      <c r="F33" s="4"/>
      <c r="G33" s="4"/>
      <c r="H33" s="232"/>
    </row>
    <row r="34" spans="1:8" s="1" customFormat="1" x14ac:dyDescent="0.2">
      <c r="A34" s="160"/>
      <c r="B34" s="4"/>
      <c r="C34" s="4"/>
      <c r="D34" s="4"/>
      <c r="E34" s="4"/>
      <c r="F34" s="4"/>
      <c r="G34" s="4"/>
      <c r="H34" s="232"/>
    </row>
    <row r="35" spans="1:8" s="1" customFormat="1" x14ac:dyDescent="0.2">
      <c r="A35" s="160"/>
      <c r="B35" s="4"/>
      <c r="C35" s="4"/>
      <c r="D35" s="4"/>
      <c r="E35" s="4"/>
      <c r="F35" s="4"/>
      <c r="G35" s="4"/>
      <c r="H35" s="232"/>
    </row>
    <row r="36" spans="1:8" s="1" customFormat="1" x14ac:dyDescent="0.2">
      <c r="A36" s="160"/>
      <c r="B36" s="4"/>
      <c r="C36" s="4"/>
      <c r="D36" s="4"/>
      <c r="E36" s="4"/>
      <c r="F36" s="4"/>
      <c r="G36" s="4"/>
      <c r="H36" s="232"/>
    </row>
    <row r="37" spans="1:8" s="1" customFormat="1" x14ac:dyDescent="0.2">
      <c r="A37" s="160"/>
      <c r="B37" s="4"/>
      <c r="C37" s="4"/>
      <c r="D37" s="4"/>
      <c r="E37" s="4"/>
      <c r="F37" s="4"/>
      <c r="G37" s="4"/>
      <c r="H37" s="232"/>
    </row>
    <row r="38" spans="1:8" s="1" customFormat="1" x14ac:dyDescent="0.2">
      <c r="A38" s="160"/>
      <c r="B38" s="4"/>
      <c r="C38" s="4"/>
      <c r="D38" s="4"/>
      <c r="E38" s="4"/>
      <c r="F38" s="4"/>
      <c r="G38" s="4"/>
      <c r="H38" s="232"/>
    </row>
    <row r="39" spans="1:8" s="1" customFormat="1" x14ac:dyDescent="0.2">
      <c r="A39" s="160"/>
      <c r="B39" s="4"/>
      <c r="C39" s="4"/>
      <c r="D39" s="4"/>
      <c r="E39" s="4"/>
      <c r="F39" s="4"/>
      <c r="G39" s="4"/>
      <c r="H39" s="232"/>
    </row>
    <row r="40" spans="1:8" s="1" customFormat="1" x14ac:dyDescent="0.2">
      <c r="A40" s="160"/>
      <c r="B40" s="4"/>
      <c r="C40" s="4"/>
      <c r="D40" s="4"/>
      <c r="E40" s="4"/>
      <c r="F40" s="4"/>
      <c r="G40" s="4"/>
      <c r="H40" s="232"/>
    </row>
    <row r="41" spans="1:8" s="1" customFormat="1" x14ac:dyDescent="0.2">
      <c r="A41" s="160"/>
      <c r="B41" s="4"/>
      <c r="C41" s="4"/>
      <c r="D41" s="4"/>
      <c r="E41" s="4"/>
      <c r="F41" s="4"/>
      <c r="G41" s="4"/>
      <c r="H41" s="232"/>
    </row>
    <row r="42" spans="1:8" s="1" customFormat="1" x14ac:dyDescent="0.2">
      <c r="A42" s="160"/>
      <c r="B42" s="4"/>
      <c r="C42" s="4"/>
      <c r="D42" s="4"/>
      <c r="E42" s="4"/>
      <c r="F42" s="4"/>
      <c r="G42" s="4"/>
      <c r="H42" s="232"/>
    </row>
    <row r="43" spans="1:8" s="1" customFormat="1" x14ac:dyDescent="0.2">
      <c r="A43" s="160"/>
      <c r="B43" s="4"/>
      <c r="C43" s="4"/>
      <c r="D43" s="4"/>
      <c r="E43" s="4"/>
      <c r="F43" s="4"/>
      <c r="G43" s="4"/>
      <c r="H43" s="232"/>
    </row>
    <row r="44" spans="1:8" s="1" customFormat="1" x14ac:dyDescent="0.2">
      <c r="A44" s="160"/>
      <c r="B44" s="4"/>
      <c r="C44" s="4"/>
      <c r="D44" s="4"/>
      <c r="E44" s="4"/>
      <c r="F44" s="4"/>
      <c r="G44" s="4"/>
      <c r="H44" s="232"/>
    </row>
    <row r="45" spans="1:8" s="1" customFormat="1" x14ac:dyDescent="0.2">
      <c r="A45" s="160"/>
      <c r="B45" s="4"/>
      <c r="C45" s="4"/>
      <c r="D45" s="4"/>
      <c r="E45" s="4"/>
      <c r="F45" s="4"/>
      <c r="G45" s="4"/>
      <c r="H45" s="232"/>
    </row>
    <row r="46" spans="1:8" s="1" customFormat="1" x14ac:dyDescent="0.2">
      <c r="A46" s="160"/>
      <c r="B46" s="4"/>
      <c r="C46" s="4"/>
      <c r="D46" s="4"/>
      <c r="E46" s="4"/>
      <c r="F46" s="4"/>
      <c r="G46" s="4"/>
      <c r="H46" s="232"/>
    </row>
    <row r="47" spans="1:8" s="1" customFormat="1" x14ac:dyDescent="0.2">
      <c r="A47" s="160"/>
      <c r="B47" s="4"/>
      <c r="C47" s="4"/>
      <c r="D47" s="4"/>
      <c r="E47" s="4"/>
      <c r="F47" s="4"/>
      <c r="G47" s="4"/>
      <c r="H47" s="232"/>
    </row>
    <row r="48" spans="1:8" s="1" customFormat="1" x14ac:dyDescent="0.2">
      <c r="A48" s="160"/>
      <c r="B48" s="4"/>
      <c r="C48" s="4"/>
      <c r="D48" s="4"/>
      <c r="E48" s="4"/>
      <c r="F48" s="4"/>
      <c r="G48" s="4"/>
      <c r="H48" s="232"/>
    </row>
    <row r="49" spans="1:8" s="1" customFormat="1" x14ac:dyDescent="0.2">
      <c r="A49" s="160"/>
      <c r="B49" s="4"/>
      <c r="C49" s="4"/>
      <c r="D49" s="4"/>
      <c r="E49" s="4"/>
      <c r="F49" s="4"/>
      <c r="G49" s="4"/>
      <c r="H49" s="232"/>
    </row>
    <row r="50" spans="1:8" s="1" customFormat="1" x14ac:dyDescent="0.2">
      <c r="A50" s="160"/>
      <c r="B50" s="4"/>
      <c r="C50" s="4"/>
      <c r="D50" s="4"/>
      <c r="E50" s="4"/>
      <c r="F50" s="4"/>
      <c r="G50" s="4"/>
      <c r="H50" s="232"/>
    </row>
    <row r="51" spans="1:8" s="1" customFormat="1" x14ac:dyDescent="0.2">
      <c r="A51" s="160"/>
      <c r="B51" s="4"/>
      <c r="C51" s="4"/>
      <c r="D51" s="4"/>
      <c r="E51" s="4"/>
      <c r="F51" s="4"/>
      <c r="G51" s="4"/>
      <c r="H51" s="232"/>
    </row>
    <row r="52" spans="1:8" s="1" customFormat="1" x14ac:dyDescent="0.2">
      <c r="A52" s="160"/>
      <c r="B52" s="4"/>
      <c r="C52" s="4"/>
      <c r="D52" s="4"/>
      <c r="E52" s="4"/>
      <c r="F52" s="4"/>
      <c r="G52" s="4"/>
      <c r="H52" s="232"/>
    </row>
    <row r="53" spans="1:8" s="1" customFormat="1" x14ac:dyDescent="0.2">
      <c r="A53" s="160"/>
      <c r="B53" s="4"/>
      <c r="C53" s="4"/>
      <c r="D53" s="4"/>
      <c r="E53" s="4"/>
      <c r="F53" s="4"/>
      <c r="G53" s="4"/>
      <c r="H53" s="232"/>
    </row>
    <row r="54" spans="1:8" s="1" customFormat="1" x14ac:dyDescent="0.2">
      <c r="A54" s="160"/>
      <c r="B54" s="4"/>
      <c r="C54" s="4"/>
      <c r="D54" s="4"/>
      <c r="E54" s="4"/>
      <c r="F54" s="4"/>
      <c r="G54" s="4"/>
      <c r="H54" s="232"/>
    </row>
    <row r="55" spans="1:8" s="1" customFormat="1" x14ac:dyDescent="0.2">
      <c r="A55" s="160"/>
      <c r="B55" s="4"/>
      <c r="C55" s="4"/>
      <c r="D55" s="4"/>
      <c r="E55" s="4"/>
      <c r="F55" s="4"/>
      <c r="G55" s="4"/>
      <c r="H55" s="232"/>
    </row>
    <row r="56" spans="1:8" s="1" customFormat="1" x14ac:dyDescent="0.2">
      <c r="A56" s="160"/>
      <c r="B56" s="4"/>
      <c r="C56" s="4"/>
      <c r="D56" s="4"/>
      <c r="E56" s="4"/>
      <c r="F56" s="4"/>
      <c r="G56" s="4"/>
      <c r="H56" s="232"/>
    </row>
    <row r="57" spans="1:8" s="1" customFormat="1" x14ac:dyDescent="0.2">
      <c r="A57" s="160"/>
      <c r="B57" s="4"/>
      <c r="C57" s="4"/>
      <c r="D57" s="4"/>
      <c r="E57" s="4"/>
      <c r="F57" s="4"/>
      <c r="G57" s="4"/>
      <c r="H57" s="232"/>
    </row>
    <row r="58" spans="1:8" s="1" customFormat="1" x14ac:dyDescent="0.2">
      <c r="A58" s="160"/>
      <c r="B58" s="4"/>
      <c r="C58" s="4"/>
      <c r="D58" s="4"/>
      <c r="E58" s="4"/>
      <c r="F58" s="4"/>
      <c r="G58" s="4"/>
      <c r="H58" s="232"/>
    </row>
    <row r="59" spans="1:8" s="1" customFormat="1" x14ac:dyDescent="0.2">
      <c r="A59" s="160"/>
      <c r="B59" s="4"/>
      <c r="C59" s="4"/>
      <c r="D59" s="4"/>
      <c r="E59" s="4"/>
      <c r="F59" s="4"/>
      <c r="G59" s="4"/>
      <c r="H59" s="232"/>
    </row>
    <row r="60" spans="1:8" s="1" customFormat="1" x14ac:dyDescent="0.2">
      <c r="A60" s="160"/>
      <c r="B60" s="4"/>
      <c r="C60" s="4"/>
      <c r="D60" s="4"/>
      <c r="E60" s="4"/>
      <c r="F60" s="4"/>
      <c r="G60" s="4"/>
      <c r="H60" s="232"/>
    </row>
    <row r="61" spans="1:8" s="1" customFormat="1" x14ac:dyDescent="0.2">
      <c r="A61" s="160"/>
      <c r="B61" s="4"/>
      <c r="C61" s="4"/>
      <c r="D61" s="4"/>
      <c r="E61" s="4"/>
      <c r="F61" s="4"/>
      <c r="G61" s="4"/>
      <c r="H61" s="232"/>
    </row>
    <row r="62" spans="1:8" s="1" customFormat="1" x14ac:dyDescent="0.2">
      <c r="A62" s="160"/>
      <c r="B62" s="4"/>
      <c r="C62" s="4"/>
      <c r="D62" s="4"/>
      <c r="E62" s="4"/>
      <c r="F62" s="4"/>
      <c r="G62" s="4"/>
      <c r="H62" s="232"/>
    </row>
    <row r="63" spans="1:8" s="1" customFormat="1" x14ac:dyDescent="0.2">
      <c r="A63" s="160"/>
      <c r="B63" s="4"/>
      <c r="C63" s="4"/>
      <c r="D63" s="4"/>
      <c r="E63" s="4"/>
      <c r="F63" s="4"/>
      <c r="G63" s="4"/>
      <c r="H63" s="232"/>
    </row>
    <row r="64" spans="1:8" s="1" customFormat="1" x14ac:dyDescent="0.2">
      <c r="A64" s="160"/>
      <c r="B64" s="4"/>
      <c r="C64" s="4"/>
      <c r="D64" s="4"/>
      <c r="E64" s="4"/>
      <c r="F64" s="4"/>
      <c r="G64" s="4"/>
      <c r="H64" s="232"/>
    </row>
    <row r="65" spans="1:8" s="1" customFormat="1" x14ac:dyDescent="0.2">
      <c r="A65" s="160"/>
      <c r="B65" s="4"/>
      <c r="C65" s="4"/>
      <c r="D65" s="4"/>
      <c r="E65" s="4"/>
      <c r="F65" s="4"/>
      <c r="G65" s="4"/>
      <c r="H65" s="232"/>
    </row>
    <row r="66" spans="1:8" s="1" customFormat="1" x14ac:dyDescent="0.2">
      <c r="A66" s="160"/>
      <c r="B66" s="4"/>
      <c r="C66" s="4"/>
      <c r="D66" s="4"/>
      <c r="E66" s="4"/>
      <c r="F66" s="4"/>
      <c r="G66" s="4"/>
      <c r="H66" s="232"/>
    </row>
    <row r="67" spans="1:8" s="1" customFormat="1" x14ac:dyDescent="0.2">
      <c r="A67" s="160"/>
      <c r="B67" s="4"/>
      <c r="C67" s="4"/>
      <c r="D67" s="4"/>
      <c r="E67" s="4"/>
      <c r="F67" s="4"/>
      <c r="G67" s="4"/>
      <c r="H67" s="232"/>
    </row>
    <row r="68" spans="1:8" s="1" customFormat="1" x14ac:dyDescent="0.2">
      <c r="A68" s="160"/>
      <c r="B68" s="4"/>
      <c r="C68" s="4"/>
      <c r="D68" s="4"/>
      <c r="E68" s="4"/>
      <c r="F68" s="4"/>
      <c r="G68" s="4"/>
      <c r="H68" s="232"/>
    </row>
    <row r="69" spans="1:8" s="1" customFormat="1" x14ac:dyDescent="0.2">
      <c r="A69" s="160"/>
      <c r="B69" s="4"/>
      <c r="C69" s="4"/>
      <c r="D69" s="4"/>
      <c r="E69" s="4"/>
      <c r="F69" s="4"/>
      <c r="G69" s="4"/>
      <c r="H69" s="232"/>
    </row>
    <row r="70" spans="1:8" s="1" customFormat="1" x14ac:dyDescent="0.2">
      <c r="A70" s="160"/>
      <c r="B70" s="4"/>
      <c r="C70" s="4"/>
      <c r="D70" s="4"/>
      <c r="E70" s="4"/>
      <c r="F70" s="4"/>
      <c r="G70" s="4"/>
      <c r="H70" s="232"/>
    </row>
    <row r="71" spans="1:8" s="1" customFormat="1" x14ac:dyDescent="0.2">
      <c r="A71" s="160"/>
      <c r="B71" s="4"/>
      <c r="C71" s="4"/>
      <c r="D71" s="4"/>
      <c r="E71" s="4"/>
      <c r="F71" s="4"/>
      <c r="G71" s="4"/>
      <c r="H71" s="232"/>
    </row>
    <row r="72" spans="1:8" s="1" customFormat="1" x14ac:dyDescent="0.2">
      <c r="A72" s="160"/>
      <c r="B72" s="4"/>
      <c r="C72" s="4"/>
      <c r="D72" s="4"/>
      <c r="E72" s="4"/>
      <c r="F72" s="4"/>
      <c r="G72" s="4"/>
      <c r="H72" s="232"/>
    </row>
    <row r="73" spans="1:8" s="1" customFormat="1" x14ac:dyDescent="0.2">
      <c r="A73" s="351" t="s">
        <v>1680</v>
      </c>
      <c r="B73" s="351"/>
      <c r="C73" s="351"/>
      <c r="D73" s="351"/>
      <c r="E73" s="351"/>
      <c r="F73" s="351"/>
      <c r="G73" s="351"/>
      <c r="H73" s="351"/>
    </row>
    <row r="74" spans="1:8" s="1" customFormat="1" x14ac:dyDescent="0.2">
      <c r="A74" s="243" t="s">
        <v>1674</v>
      </c>
      <c r="B74" s="242"/>
      <c r="C74" s="242"/>
      <c r="D74" s="242"/>
      <c r="E74" s="242"/>
      <c r="F74" s="242"/>
      <c r="G74" s="242"/>
      <c r="H74" s="242"/>
    </row>
    <row r="75" spans="1:8" s="1" customFormat="1" x14ac:dyDescent="0.2">
      <c r="A75" s="243" t="s">
        <v>1675</v>
      </c>
      <c r="B75" s="242"/>
      <c r="C75" s="242"/>
      <c r="D75" s="242"/>
      <c r="E75" s="242"/>
      <c r="F75" s="242"/>
      <c r="G75" s="242"/>
      <c r="H75" s="242"/>
    </row>
    <row r="76" spans="1:8" s="1" customFormat="1" x14ac:dyDescent="0.2">
      <c r="A76" s="244" t="s">
        <v>1676</v>
      </c>
      <c r="B76" s="4"/>
      <c r="C76" s="4"/>
      <c r="D76" s="4"/>
      <c r="E76" s="4"/>
      <c r="F76" s="4"/>
      <c r="G76" s="4"/>
      <c r="H76" s="232"/>
    </row>
    <row r="77" spans="1:8" s="1" customFormat="1" x14ac:dyDescent="0.2">
      <c r="A77" s="244" t="s">
        <v>1677</v>
      </c>
      <c r="B77" s="4"/>
      <c r="C77" s="4"/>
      <c r="D77" s="4"/>
      <c r="E77" s="4"/>
      <c r="F77" s="4"/>
      <c r="G77" s="4"/>
      <c r="H77" s="232"/>
    </row>
    <row r="78" spans="1:8" s="1" customFormat="1" x14ac:dyDescent="0.2">
      <c r="A78" s="244" t="s">
        <v>1678</v>
      </c>
      <c r="B78" s="4"/>
      <c r="C78" s="4"/>
      <c r="D78" s="4"/>
      <c r="E78" s="4"/>
      <c r="F78" s="4"/>
      <c r="G78" s="4"/>
      <c r="H78" s="232"/>
    </row>
    <row r="79" spans="1:8" s="1" customFormat="1" x14ac:dyDescent="0.2">
      <c r="A79" s="244" t="s">
        <v>1679</v>
      </c>
      <c r="B79" s="4"/>
      <c r="C79" s="4"/>
      <c r="D79" s="4"/>
      <c r="E79" s="4"/>
      <c r="F79" s="4"/>
      <c r="G79" s="4"/>
      <c r="H79" s="232"/>
    </row>
    <row r="80" spans="1:8" s="1" customFormat="1" x14ac:dyDescent="0.2">
      <c r="A80" s="160"/>
      <c r="B80" s="4"/>
      <c r="C80" s="4"/>
      <c r="D80" s="4"/>
      <c r="E80" s="4"/>
      <c r="F80" s="4"/>
      <c r="G80" s="4"/>
      <c r="H80" s="232"/>
    </row>
    <row r="81" spans="1:8" s="1" customFormat="1" x14ac:dyDescent="0.2">
      <c r="A81" s="117" t="s">
        <v>1627</v>
      </c>
      <c r="B81" s="117"/>
      <c r="C81" s="117" t="s">
        <v>1685</v>
      </c>
      <c r="D81" s="117"/>
      <c r="E81" s="117"/>
      <c r="F81" s="117"/>
      <c r="G81" s="117"/>
      <c r="H81" s="117"/>
    </row>
    <row r="82" spans="1:8" s="1" customFormat="1" x14ac:dyDescent="0.2">
      <c r="A82" s="62" t="s">
        <v>1629</v>
      </c>
      <c r="B82" s="4"/>
      <c r="C82" s="4"/>
      <c r="D82" s="4"/>
      <c r="E82" s="4"/>
      <c r="F82" s="4"/>
      <c r="G82" s="4"/>
      <c r="H82" s="232"/>
    </row>
    <row r="83" spans="1:8" s="1" customFormat="1" x14ac:dyDescent="0.2">
      <c r="A83" s="62" t="s">
        <v>1632</v>
      </c>
      <c r="B83" s="4"/>
      <c r="C83" s="4"/>
      <c r="D83" s="4"/>
      <c r="E83" s="4"/>
      <c r="F83" s="4"/>
      <c r="G83" s="4"/>
      <c r="H83" s="232"/>
    </row>
    <row r="84" spans="1:8" s="1" customFormat="1" x14ac:dyDescent="0.2">
      <c r="A84" s="160"/>
      <c r="B84" s="4"/>
      <c r="C84" s="4"/>
      <c r="D84" s="4"/>
      <c r="E84" s="4"/>
      <c r="F84" s="4"/>
      <c r="G84" s="4"/>
      <c r="H84" s="232"/>
    </row>
    <row r="85" spans="1:8" s="1" customFormat="1" x14ac:dyDescent="0.2">
      <c r="A85" s="62" t="s">
        <v>1630</v>
      </c>
      <c r="B85" s="4"/>
      <c r="C85" s="4"/>
      <c r="D85" s="4"/>
      <c r="E85" s="4"/>
      <c r="F85" s="4"/>
      <c r="G85" s="4"/>
      <c r="H85" s="232"/>
    </row>
    <row r="86" spans="1:8" s="1" customFormat="1" x14ac:dyDescent="0.2">
      <c r="A86" s="62" t="s">
        <v>1631</v>
      </c>
      <c r="B86" s="4"/>
      <c r="C86" s="4"/>
      <c r="D86" s="4"/>
      <c r="E86" s="4"/>
      <c r="F86" s="4"/>
      <c r="G86" s="4"/>
      <c r="H86" s="232"/>
    </row>
    <row r="87" spans="1:8" s="1" customFormat="1" x14ac:dyDescent="0.2">
      <c r="A87" s="62" t="s">
        <v>1633</v>
      </c>
      <c r="B87" s="4"/>
      <c r="C87" s="4"/>
      <c r="D87" s="4"/>
      <c r="E87" s="4"/>
      <c r="F87" s="4"/>
      <c r="G87" s="4"/>
      <c r="H87" s="232"/>
    </row>
    <row r="88" spans="1:8" s="1" customFormat="1" x14ac:dyDescent="0.2">
      <c r="A88" s="62" t="s">
        <v>1634</v>
      </c>
      <c r="B88" s="4"/>
      <c r="C88" s="4"/>
      <c r="D88" s="4"/>
      <c r="E88" s="4"/>
      <c r="F88" s="4"/>
      <c r="G88" s="4"/>
      <c r="H88" s="232"/>
    </row>
    <row r="89" spans="1:8" s="1" customFormat="1" x14ac:dyDescent="0.2">
      <c r="A89" s="62" t="s">
        <v>1635</v>
      </c>
      <c r="B89" s="4"/>
      <c r="C89" s="4"/>
      <c r="D89" s="4"/>
      <c r="E89" s="4"/>
      <c r="F89" s="4"/>
      <c r="G89" s="4"/>
      <c r="H89" s="232"/>
    </row>
    <row r="90" spans="1:8" s="1" customFormat="1" x14ac:dyDescent="0.2">
      <c r="A90" s="160"/>
      <c r="B90" s="4"/>
      <c r="C90" s="4"/>
      <c r="D90" s="4"/>
      <c r="E90" s="4"/>
      <c r="F90" s="4"/>
      <c r="G90" s="4"/>
      <c r="H90" s="232"/>
    </row>
    <row r="91" spans="1:8" s="1" customFormat="1" x14ac:dyDescent="0.2">
      <c r="A91" s="160" t="s">
        <v>78</v>
      </c>
      <c r="B91" s="4"/>
      <c r="C91" s="4"/>
      <c r="D91" s="4"/>
      <c r="E91" s="4"/>
      <c r="F91" s="4"/>
      <c r="G91" s="4"/>
      <c r="H91" s="232"/>
    </row>
    <row r="92" spans="1:8" s="1" customFormat="1" ht="17" thickBot="1" x14ac:dyDescent="0.25">
      <c r="A92" s="160"/>
      <c r="B92" s="4"/>
      <c r="C92" s="4"/>
      <c r="D92" s="4"/>
      <c r="E92" s="4"/>
      <c r="F92" s="4"/>
      <c r="G92" s="4"/>
      <c r="H92" s="232"/>
    </row>
    <row r="93" spans="1:8" s="1" customFormat="1" ht="17" thickBot="1" x14ac:dyDescent="0.25">
      <c r="A93" s="247" t="s">
        <v>1630</v>
      </c>
      <c r="B93" s="8"/>
      <c r="C93" s="8"/>
      <c r="D93" s="8"/>
      <c r="E93" s="8"/>
      <c r="F93" s="8"/>
      <c r="G93" s="8"/>
      <c r="H93" s="235"/>
    </row>
    <row r="94" spans="1:8" s="1" customFormat="1" x14ac:dyDescent="0.2">
      <c r="A94" s="62" t="s">
        <v>1690</v>
      </c>
      <c r="B94" s="4"/>
      <c r="C94" s="4"/>
      <c r="D94" s="4"/>
      <c r="E94" s="4"/>
      <c r="F94" s="4"/>
      <c r="G94" s="4"/>
      <c r="H94" s="232"/>
    </row>
    <row r="95" spans="1:8" s="1" customFormat="1" x14ac:dyDescent="0.2">
      <c r="A95" s="62" t="s">
        <v>1691</v>
      </c>
      <c r="B95" s="4"/>
      <c r="C95" s="4"/>
      <c r="D95" s="4"/>
      <c r="E95" s="4"/>
      <c r="F95" s="4"/>
      <c r="G95" s="4"/>
      <c r="H95" s="232"/>
    </row>
    <row r="96" spans="1:8" s="1" customFormat="1" x14ac:dyDescent="0.2">
      <c r="A96" s="62"/>
      <c r="B96" s="4"/>
      <c r="C96" s="4"/>
      <c r="D96" s="4"/>
      <c r="E96" s="4"/>
      <c r="F96" s="4"/>
      <c r="G96" s="4"/>
      <c r="H96" s="232"/>
    </row>
    <row r="97" spans="1:8" s="1" customFormat="1" x14ac:dyDescent="0.2">
      <c r="A97" s="160" t="s">
        <v>1692</v>
      </c>
      <c r="B97" s="4"/>
      <c r="C97" s="4"/>
      <c r="D97" s="4"/>
      <c r="E97" s="4"/>
      <c r="F97" s="4"/>
      <c r="G97" s="4"/>
      <c r="H97" s="232"/>
    </row>
    <row r="98" spans="1:8" s="1" customFormat="1" x14ac:dyDescent="0.2">
      <c r="A98" s="160" t="s">
        <v>1693</v>
      </c>
      <c r="B98" s="4"/>
      <c r="C98" s="4"/>
      <c r="D98" s="4"/>
      <c r="E98" s="4"/>
      <c r="F98" s="4"/>
      <c r="G98" s="4"/>
      <c r="H98" s="232"/>
    </row>
    <row r="99" spans="1:8" s="1" customFormat="1" ht="17" thickBot="1" x14ac:dyDescent="0.25">
      <c r="A99" s="62"/>
      <c r="B99" s="4"/>
      <c r="C99" s="4"/>
      <c r="D99" s="4"/>
      <c r="E99" s="4"/>
      <c r="F99" s="4"/>
      <c r="G99" s="4"/>
      <c r="H99" s="232"/>
    </row>
    <row r="100" spans="1:8" s="1" customFormat="1" ht="17" thickBot="1" x14ac:dyDescent="0.25">
      <c r="A100" s="247" t="s">
        <v>1631</v>
      </c>
      <c r="B100" s="8"/>
      <c r="C100" s="8"/>
      <c r="D100" s="8"/>
      <c r="E100" s="8"/>
      <c r="F100" s="8"/>
      <c r="G100" s="8"/>
      <c r="H100" s="235"/>
    </row>
    <row r="101" spans="1:8" s="1" customFormat="1" x14ac:dyDescent="0.2">
      <c r="A101" s="62" t="s">
        <v>1694</v>
      </c>
      <c r="B101" s="4"/>
      <c r="C101" s="4"/>
      <c r="D101" s="4"/>
      <c r="E101" s="4"/>
      <c r="F101" s="4"/>
      <c r="G101" s="4"/>
      <c r="H101" s="232"/>
    </row>
    <row r="102" spans="1:8" s="1" customFormat="1" x14ac:dyDescent="0.2">
      <c r="A102" s="62" t="s">
        <v>1695</v>
      </c>
      <c r="B102" s="4"/>
      <c r="C102" s="4"/>
      <c r="D102" s="4"/>
      <c r="E102" s="4"/>
      <c r="F102" s="4"/>
      <c r="G102" s="4"/>
      <c r="H102" s="232"/>
    </row>
    <row r="103" spans="1:8" s="1" customFormat="1" x14ac:dyDescent="0.2">
      <c r="A103" s="62" t="s">
        <v>1696</v>
      </c>
      <c r="B103" s="4"/>
      <c r="C103" s="4"/>
      <c r="D103" s="4"/>
      <c r="E103" s="4"/>
      <c r="F103" s="4"/>
      <c r="G103" s="4"/>
      <c r="H103" s="232"/>
    </row>
    <row r="104" spans="1:8" s="1" customFormat="1" x14ac:dyDescent="0.2">
      <c r="A104" s="62" t="s">
        <v>1697</v>
      </c>
      <c r="B104" s="4"/>
      <c r="C104" s="4"/>
      <c r="D104" s="4"/>
      <c r="E104" s="4"/>
      <c r="F104" s="4"/>
      <c r="G104" s="4"/>
      <c r="H104" s="232"/>
    </row>
    <row r="105" spans="1:8" s="1" customFormat="1" x14ac:dyDescent="0.2">
      <c r="A105" s="62"/>
      <c r="B105" s="4"/>
      <c r="C105" s="4"/>
      <c r="D105" s="4"/>
      <c r="E105" s="4"/>
      <c r="F105" s="4"/>
      <c r="G105" s="4"/>
      <c r="H105" s="232"/>
    </row>
    <row r="106" spans="1:8" s="1" customFormat="1" x14ac:dyDescent="0.2">
      <c r="A106" s="62" t="s">
        <v>1698</v>
      </c>
      <c r="B106" s="4"/>
      <c r="C106" s="4"/>
      <c r="D106" s="4"/>
      <c r="E106" s="4"/>
      <c r="F106" s="4"/>
      <c r="G106" s="4"/>
      <c r="H106" s="232"/>
    </row>
    <row r="107" spans="1:8" s="1" customFormat="1" x14ac:dyDescent="0.2">
      <c r="A107" s="62" t="s">
        <v>1704</v>
      </c>
      <c r="B107" s="4"/>
      <c r="C107" s="4"/>
      <c r="D107" s="4"/>
      <c r="E107" s="4"/>
      <c r="F107" s="4"/>
      <c r="G107" s="4"/>
      <c r="H107" s="232"/>
    </row>
    <row r="108" spans="1:8" s="1" customFormat="1" x14ac:dyDescent="0.2">
      <c r="A108" s="62"/>
      <c r="B108" s="4"/>
      <c r="C108" s="4"/>
      <c r="D108" s="4"/>
      <c r="E108" s="4"/>
      <c r="F108" s="4"/>
      <c r="G108" s="4"/>
      <c r="H108" s="232"/>
    </row>
    <row r="109" spans="1:8" s="1" customFormat="1" x14ac:dyDescent="0.2">
      <c r="A109" s="62" t="s">
        <v>1699</v>
      </c>
      <c r="B109" s="4"/>
      <c r="C109" s="4"/>
      <c r="D109" s="4"/>
      <c r="E109" s="4"/>
      <c r="F109" s="4"/>
      <c r="G109" s="4"/>
      <c r="H109" s="232"/>
    </row>
    <row r="110" spans="1:8" s="1" customFormat="1" x14ac:dyDescent="0.2">
      <c r="A110" s="62" t="s">
        <v>1700</v>
      </c>
      <c r="B110" s="4"/>
      <c r="C110" s="4"/>
      <c r="D110" s="1">
        <v>12</v>
      </c>
      <c r="F110" s="1" t="s">
        <v>1701</v>
      </c>
      <c r="G110" s="4"/>
      <c r="H110" s="232"/>
    </row>
    <row r="111" spans="1:8" s="1" customFormat="1" x14ac:dyDescent="0.2">
      <c r="A111" s="62" t="s">
        <v>1702</v>
      </c>
      <c r="B111" s="4"/>
      <c r="C111" s="4"/>
      <c r="D111" s="1">
        <f>D110*10</f>
        <v>120</v>
      </c>
      <c r="G111" s="4"/>
      <c r="H111" s="232"/>
    </row>
    <row r="112" spans="1:8" s="1" customFormat="1" x14ac:dyDescent="0.2">
      <c r="A112" s="62" t="s">
        <v>1703</v>
      </c>
      <c r="B112" s="4"/>
      <c r="C112" s="4"/>
      <c r="D112" s="248">
        <f>120%</f>
        <v>1.2</v>
      </c>
      <c r="F112" s="1" t="s">
        <v>1705</v>
      </c>
      <c r="G112" s="4"/>
      <c r="H112" s="232"/>
    </row>
    <row r="113" spans="1:8" s="1" customFormat="1" x14ac:dyDescent="0.2">
      <c r="A113" s="62"/>
      <c r="B113" s="4"/>
      <c r="C113" s="4"/>
      <c r="D113" s="4"/>
      <c r="E113" s="4"/>
      <c r="F113" s="4"/>
      <c r="G113" s="4"/>
      <c r="H113" s="232"/>
    </row>
    <row r="114" spans="1:8" s="1" customFormat="1" x14ac:dyDescent="0.2">
      <c r="A114" s="160" t="s">
        <v>1706</v>
      </c>
      <c r="B114" s="4"/>
      <c r="C114" s="4"/>
      <c r="D114" s="4"/>
      <c r="E114" s="4"/>
      <c r="F114" s="4"/>
      <c r="G114" s="4"/>
      <c r="H114" s="232"/>
    </row>
    <row r="115" spans="1:8" s="1" customFormat="1" x14ac:dyDescent="0.2">
      <c r="A115" s="160" t="s">
        <v>1707</v>
      </c>
      <c r="B115" s="4"/>
      <c r="C115" s="4"/>
      <c r="D115" s="4"/>
      <c r="E115" s="4"/>
      <c r="F115" s="4"/>
      <c r="G115" s="4"/>
      <c r="H115" s="232"/>
    </row>
    <row r="116" spans="1:8" s="1" customFormat="1" x14ac:dyDescent="0.2">
      <c r="A116" s="160" t="s">
        <v>1708</v>
      </c>
      <c r="B116" s="4"/>
      <c r="C116" s="4"/>
      <c r="D116" s="4"/>
      <c r="E116" s="4"/>
      <c r="F116" s="4"/>
      <c r="G116" s="4"/>
      <c r="H116" s="232"/>
    </row>
    <row r="117" spans="1:8" s="1" customFormat="1" ht="17" thickBot="1" x14ac:dyDescent="0.25">
      <c r="A117" s="62"/>
      <c r="B117" s="4"/>
      <c r="C117" s="4"/>
      <c r="D117" s="4"/>
      <c r="E117" s="4"/>
      <c r="F117" s="4"/>
      <c r="G117" s="4"/>
      <c r="H117" s="232"/>
    </row>
    <row r="118" spans="1:8" s="1" customFormat="1" ht="17" thickBot="1" x14ac:dyDescent="0.25">
      <c r="A118" s="234" t="s">
        <v>1633</v>
      </c>
      <c r="B118" s="8"/>
      <c r="C118" s="8"/>
      <c r="D118" s="8"/>
      <c r="E118" s="8"/>
      <c r="F118" s="8"/>
      <c r="G118" s="8"/>
      <c r="H118" s="235"/>
    </row>
    <row r="119" spans="1:8" s="1" customFormat="1" x14ac:dyDescent="0.2">
      <c r="A119" s="62"/>
      <c r="B119" s="4"/>
      <c r="C119" s="4"/>
      <c r="D119" s="4"/>
      <c r="E119" s="4"/>
      <c r="F119" s="4"/>
      <c r="G119" s="4"/>
      <c r="H119" s="232"/>
    </row>
    <row r="120" spans="1:8" s="1" customFormat="1" x14ac:dyDescent="0.2">
      <c r="A120" s="62" t="s">
        <v>1709</v>
      </c>
      <c r="B120" s="4"/>
      <c r="C120" s="4"/>
      <c r="D120" s="4"/>
      <c r="E120" s="4"/>
      <c r="F120" s="4"/>
      <c r="G120" s="4"/>
      <c r="H120" s="232"/>
    </row>
    <row r="121" spans="1:8" s="1" customFormat="1" x14ac:dyDescent="0.2">
      <c r="A121" s="62" t="s">
        <v>1710</v>
      </c>
      <c r="B121" s="4"/>
      <c r="C121" s="4"/>
      <c r="D121" s="4"/>
      <c r="E121" s="4"/>
      <c r="F121" s="4"/>
      <c r="G121" s="4"/>
      <c r="H121" s="232"/>
    </row>
    <row r="122" spans="1:8" s="1" customFormat="1" ht="17" thickBot="1" x14ac:dyDescent="0.25">
      <c r="A122" s="62"/>
      <c r="B122" s="4"/>
      <c r="C122" s="4"/>
      <c r="D122" s="4"/>
      <c r="E122" s="4"/>
      <c r="F122" s="4"/>
      <c r="G122" s="4"/>
      <c r="H122" s="232"/>
    </row>
    <row r="123" spans="1:8" s="1" customFormat="1" x14ac:dyDescent="0.2">
      <c r="A123" s="63" t="s">
        <v>1634</v>
      </c>
      <c r="B123" s="113"/>
      <c r="C123" s="113"/>
      <c r="D123" s="113"/>
      <c r="E123" s="113"/>
      <c r="F123" s="113"/>
      <c r="G123" s="113"/>
      <c r="H123" s="236"/>
    </row>
    <row r="124" spans="1:8" s="1" customFormat="1" ht="17" thickBot="1" x14ac:dyDescent="0.25">
      <c r="A124" s="215" t="s">
        <v>1635</v>
      </c>
      <c r="B124" s="115"/>
      <c r="C124" s="115"/>
      <c r="D124" s="115"/>
      <c r="E124" s="115"/>
      <c r="F124" s="115"/>
      <c r="G124" s="115"/>
      <c r="H124" s="238"/>
    </row>
    <row r="125" spans="1:8" s="1" customFormat="1" x14ac:dyDescent="0.2">
      <c r="A125" s="62"/>
      <c r="B125" s="4"/>
      <c r="C125" s="4"/>
      <c r="D125" s="4"/>
      <c r="E125" s="4"/>
      <c r="F125" s="4"/>
      <c r="G125" s="4"/>
      <c r="H125" s="232"/>
    </row>
    <row r="126" spans="1:8" s="1" customFormat="1" x14ac:dyDescent="0.2">
      <c r="A126" s="62" t="s">
        <v>1711</v>
      </c>
      <c r="B126" s="4"/>
      <c r="C126" s="4"/>
      <c r="D126" s="4"/>
      <c r="E126" s="4"/>
      <c r="F126" s="4"/>
      <c r="G126" s="4"/>
      <c r="H126" s="232"/>
    </row>
    <row r="127" spans="1:8" s="1" customFormat="1" x14ac:dyDescent="0.2">
      <c r="A127" s="62" t="s">
        <v>1712</v>
      </c>
      <c r="B127" s="4"/>
      <c r="C127" s="4"/>
      <c r="D127" s="4"/>
      <c r="E127" s="4"/>
      <c r="F127" s="4"/>
      <c r="G127" s="4"/>
      <c r="H127" s="232"/>
    </row>
    <row r="128" spans="1:8" s="1" customFormat="1" x14ac:dyDescent="0.2">
      <c r="A128" s="62" t="s">
        <v>1713</v>
      </c>
      <c r="B128" s="4"/>
      <c r="C128" s="4"/>
      <c r="D128" s="4"/>
      <c r="E128" s="4"/>
      <c r="F128" s="4"/>
      <c r="G128" s="4"/>
      <c r="H128" s="232"/>
    </row>
    <row r="129" spans="1:8" s="1" customFormat="1" x14ac:dyDescent="0.2">
      <c r="A129" s="62"/>
      <c r="B129" s="4"/>
      <c r="C129" s="4"/>
      <c r="D129" s="4"/>
      <c r="E129" s="4"/>
      <c r="F129" s="4"/>
      <c r="G129" s="4"/>
      <c r="H129" s="232"/>
    </row>
    <row r="130" spans="1:8" s="1" customFormat="1" x14ac:dyDescent="0.2">
      <c r="A130" s="117" t="s">
        <v>1628</v>
      </c>
      <c r="B130" s="117"/>
      <c r="C130" s="117" t="s">
        <v>1685</v>
      </c>
      <c r="D130" s="117"/>
      <c r="E130" s="117"/>
      <c r="F130" s="117"/>
      <c r="G130" s="117"/>
      <c r="H130" s="117"/>
    </row>
    <row r="131" spans="1:8" s="1" customFormat="1" x14ac:dyDescent="0.2">
      <c r="A131" s="62" t="s">
        <v>1636</v>
      </c>
      <c r="B131" s="4"/>
      <c r="C131" s="4"/>
      <c r="D131" s="4"/>
      <c r="E131" s="4"/>
      <c r="F131" s="4"/>
      <c r="G131" s="4"/>
      <c r="H131" s="232"/>
    </row>
    <row r="132" spans="1:8" s="1" customFormat="1" x14ac:dyDescent="0.2">
      <c r="A132" s="62" t="s">
        <v>1637</v>
      </c>
      <c r="B132" s="4"/>
      <c r="C132" s="4"/>
      <c r="D132" s="4"/>
      <c r="E132" s="4"/>
      <c r="F132" s="4"/>
      <c r="G132" s="4"/>
      <c r="H132" s="232"/>
    </row>
    <row r="133" spans="1:8" s="1" customFormat="1" x14ac:dyDescent="0.2">
      <c r="A133" s="62" t="s">
        <v>1639</v>
      </c>
      <c r="B133" s="4"/>
      <c r="C133" s="4"/>
      <c r="D133" s="4"/>
      <c r="E133" s="4"/>
      <c r="F133" s="4"/>
      <c r="G133" s="4"/>
      <c r="H133" s="232"/>
    </row>
    <row r="134" spans="1:8" s="1" customFormat="1" x14ac:dyDescent="0.2">
      <c r="A134" s="62" t="s">
        <v>1638</v>
      </c>
      <c r="B134" s="4"/>
      <c r="C134" s="4"/>
      <c r="D134" s="4"/>
      <c r="E134" s="4"/>
      <c r="F134" s="4"/>
      <c r="G134" s="4"/>
      <c r="H134" s="232"/>
    </row>
    <row r="135" spans="1:8" s="1" customFormat="1" x14ac:dyDescent="0.2">
      <c r="A135" s="62" t="s">
        <v>1640</v>
      </c>
      <c r="B135" s="4"/>
      <c r="C135" s="4"/>
      <c r="D135" s="4"/>
      <c r="E135" s="4"/>
      <c r="F135" s="4"/>
      <c r="G135" s="4"/>
      <c r="H135" s="232"/>
    </row>
    <row r="136" spans="1:8" s="1" customFormat="1" x14ac:dyDescent="0.2">
      <c r="A136" s="62" t="s">
        <v>1641</v>
      </c>
      <c r="B136" s="4"/>
      <c r="C136" s="4"/>
      <c r="D136" s="4"/>
      <c r="E136" s="4"/>
      <c r="F136" s="4"/>
      <c r="G136" s="4"/>
      <c r="H136" s="232"/>
    </row>
    <row r="137" spans="1:8" s="1" customFormat="1" x14ac:dyDescent="0.2">
      <c r="A137" s="62" t="s">
        <v>1642</v>
      </c>
      <c r="B137" s="4"/>
      <c r="C137" s="4"/>
      <c r="D137" s="4"/>
      <c r="E137" s="4"/>
      <c r="F137" s="4"/>
      <c r="G137" s="4"/>
      <c r="H137" s="232"/>
    </row>
    <row r="138" spans="1:8" s="1" customFormat="1" x14ac:dyDescent="0.2">
      <c r="A138" s="62" t="s">
        <v>1643</v>
      </c>
      <c r="B138" s="4"/>
      <c r="C138" s="4"/>
      <c r="D138" s="4"/>
      <c r="E138" s="4"/>
      <c r="F138" s="4"/>
      <c r="G138" s="4"/>
      <c r="H138" s="232"/>
    </row>
    <row r="139" spans="1:8" s="1" customFormat="1" x14ac:dyDescent="0.2">
      <c r="A139" s="62" t="s">
        <v>1644</v>
      </c>
      <c r="B139" s="4"/>
      <c r="C139" s="4"/>
      <c r="D139" s="4"/>
      <c r="E139" s="4"/>
      <c r="F139" s="4"/>
      <c r="G139" s="4"/>
      <c r="H139" s="232"/>
    </row>
    <row r="140" spans="1:8" s="1" customFormat="1" x14ac:dyDescent="0.2">
      <c r="A140" s="160"/>
      <c r="B140" s="4"/>
      <c r="C140" s="4"/>
      <c r="D140" s="4"/>
      <c r="E140" s="4"/>
      <c r="F140" s="4"/>
      <c r="G140" s="4"/>
      <c r="H140" s="232"/>
    </row>
    <row r="141" spans="1:8" s="1" customFormat="1" x14ac:dyDescent="0.2">
      <c r="A141" s="160" t="s">
        <v>78</v>
      </c>
      <c r="B141" s="4"/>
      <c r="C141" s="4"/>
      <c r="D141" s="4"/>
      <c r="E141" s="4"/>
      <c r="F141" s="4"/>
      <c r="G141" s="4"/>
      <c r="H141" s="232"/>
    </row>
    <row r="142" spans="1:8" s="1" customFormat="1" x14ac:dyDescent="0.2">
      <c r="A142" s="160"/>
      <c r="B142" s="4"/>
      <c r="C142" s="4"/>
      <c r="D142" s="4"/>
      <c r="E142" s="4"/>
      <c r="F142" s="4"/>
      <c r="G142" s="4"/>
      <c r="H142" s="232"/>
    </row>
    <row r="143" spans="1:8" s="1" customFormat="1" x14ac:dyDescent="0.2">
      <c r="A143" s="160" t="s">
        <v>1714</v>
      </c>
      <c r="B143" s="4"/>
      <c r="C143" s="4"/>
      <c r="D143" s="4"/>
      <c r="E143" s="4"/>
      <c r="F143" s="4"/>
      <c r="G143" s="4"/>
      <c r="H143" s="232"/>
    </row>
    <row r="144" spans="1:8" s="1" customFormat="1" x14ac:dyDescent="0.2">
      <c r="A144" s="160" t="s">
        <v>1715</v>
      </c>
      <c r="B144" s="4"/>
      <c r="C144" s="4"/>
      <c r="D144" s="4"/>
      <c r="E144" s="4"/>
      <c r="F144" s="4"/>
      <c r="G144" s="4"/>
      <c r="H144" s="232"/>
    </row>
    <row r="145" spans="1:8" s="1" customFormat="1" ht="17" thickBot="1" x14ac:dyDescent="0.25">
      <c r="A145" s="160"/>
      <c r="B145" s="4"/>
      <c r="C145" s="4"/>
      <c r="D145" s="4"/>
      <c r="E145" s="4"/>
      <c r="F145" s="4"/>
      <c r="G145" s="4"/>
      <c r="H145" s="232"/>
    </row>
    <row r="146" spans="1:8" s="1" customFormat="1" ht="17" thickBot="1" x14ac:dyDescent="0.25">
      <c r="A146" s="247" t="s">
        <v>1637</v>
      </c>
      <c r="B146" s="8"/>
      <c r="C146" s="8"/>
      <c r="D146" s="8"/>
      <c r="E146" s="8"/>
      <c r="F146" s="8"/>
      <c r="G146" s="8"/>
      <c r="H146" s="235"/>
    </row>
    <row r="147" spans="1:8" s="1" customFormat="1" x14ac:dyDescent="0.2">
      <c r="A147" s="62" t="s">
        <v>1716</v>
      </c>
      <c r="B147" s="4"/>
      <c r="C147" s="4"/>
      <c r="D147" s="4"/>
      <c r="E147" s="4"/>
      <c r="F147" s="4"/>
      <c r="G147" s="4"/>
      <c r="H147" s="232"/>
    </row>
    <row r="148" spans="1:8" s="1" customFormat="1" x14ac:dyDescent="0.2">
      <c r="A148" s="62" t="s">
        <v>1717</v>
      </c>
      <c r="B148" s="4"/>
      <c r="C148" s="4"/>
      <c r="D148" s="4"/>
      <c r="E148" s="4"/>
      <c r="F148" s="4"/>
      <c r="G148" s="4"/>
      <c r="H148" s="232"/>
    </row>
    <row r="149" spans="1:8" s="1" customFormat="1" x14ac:dyDescent="0.2">
      <c r="A149" s="62" t="s">
        <v>1718</v>
      </c>
      <c r="B149" s="4"/>
      <c r="C149" s="4"/>
      <c r="D149" s="4"/>
      <c r="E149" s="4"/>
      <c r="F149" s="4"/>
      <c r="G149" s="4"/>
      <c r="H149" s="232"/>
    </row>
    <row r="150" spans="1:8" s="1" customFormat="1" ht="17" thickBot="1" x14ac:dyDescent="0.25">
      <c r="A150" s="62"/>
      <c r="B150" s="4"/>
      <c r="C150" s="4"/>
      <c r="D150" s="4"/>
      <c r="E150" s="4"/>
      <c r="F150" s="4"/>
      <c r="G150" s="4"/>
      <c r="H150" s="232"/>
    </row>
    <row r="151" spans="1:8" s="1" customFormat="1" x14ac:dyDescent="0.2">
      <c r="A151" s="69" t="s">
        <v>1639</v>
      </c>
      <c r="B151" s="113"/>
      <c r="C151" s="113"/>
      <c r="D151" s="113"/>
      <c r="E151" s="113"/>
      <c r="F151" s="113"/>
      <c r="G151" s="113"/>
      <c r="H151" s="236"/>
    </row>
    <row r="152" spans="1:8" s="1" customFormat="1" ht="17" thickBot="1" x14ac:dyDescent="0.25">
      <c r="A152" s="65" t="s">
        <v>1638</v>
      </c>
      <c r="B152" s="115"/>
      <c r="C152" s="115"/>
      <c r="D152" s="115"/>
      <c r="E152" s="115"/>
      <c r="F152" s="115"/>
      <c r="G152" s="115"/>
      <c r="H152" s="238"/>
    </row>
    <row r="153" spans="1:8" s="1" customFormat="1" x14ac:dyDescent="0.2">
      <c r="A153" s="62"/>
      <c r="B153" s="4"/>
      <c r="C153" s="4"/>
      <c r="D153" s="4"/>
      <c r="E153" s="4"/>
      <c r="F153" s="4"/>
      <c r="G153" s="4"/>
      <c r="H153" s="232"/>
    </row>
    <row r="154" spans="1:8" s="1" customFormat="1" x14ac:dyDescent="0.2">
      <c r="A154" s="62" t="s">
        <v>1730</v>
      </c>
      <c r="B154" s="4"/>
      <c r="C154" s="4"/>
      <c r="D154" s="4"/>
      <c r="E154" s="4"/>
      <c r="F154" s="4"/>
      <c r="G154" s="4"/>
      <c r="H154" s="232"/>
    </row>
    <row r="155" spans="1:8" s="1" customFormat="1" x14ac:dyDescent="0.2">
      <c r="A155" s="62"/>
      <c r="B155" s="4"/>
      <c r="C155" s="4"/>
      <c r="D155" s="4"/>
      <c r="E155" s="4"/>
      <c r="F155" s="4" t="s">
        <v>1721</v>
      </c>
      <c r="H155" s="4" t="s">
        <v>1731</v>
      </c>
    </row>
    <row r="156" spans="1:8" s="1" customFormat="1" x14ac:dyDescent="0.2">
      <c r="A156" s="62" t="s">
        <v>323</v>
      </c>
      <c r="B156" s="4"/>
      <c r="C156" s="4"/>
      <c r="D156" s="4"/>
      <c r="E156" s="4"/>
      <c r="F156" s="4"/>
      <c r="G156" s="4"/>
      <c r="H156" s="232"/>
    </row>
    <row r="157" spans="1:8" s="1" customFormat="1" x14ac:dyDescent="0.2">
      <c r="A157" s="62" t="s">
        <v>71</v>
      </c>
      <c r="B157" s="1" t="s">
        <v>1719</v>
      </c>
      <c r="C157" s="4"/>
      <c r="D157" s="4"/>
      <c r="E157" s="4"/>
      <c r="F157" s="4"/>
      <c r="G157" s="4"/>
      <c r="H157" s="232"/>
    </row>
    <row r="158" spans="1:8" s="1" customFormat="1" x14ac:dyDescent="0.2">
      <c r="A158" s="62" t="s">
        <v>246</v>
      </c>
      <c r="B158" s="1" t="s">
        <v>1720</v>
      </c>
      <c r="C158" s="4"/>
      <c r="D158" s="4"/>
      <c r="E158" s="4"/>
      <c r="F158" s="4"/>
      <c r="G158" s="4"/>
      <c r="H158" s="232"/>
    </row>
    <row r="159" spans="1:8" s="1" customFormat="1" x14ac:dyDescent="0.2">
      <c r="A159" s="62" t="s">
        <v>247</v>
      </c>
      <c r="B159" s="1" t="s">
        <v>1722</v>
      </c>
      <c r="C159" s="4"/>
      <c r="D159" s="4"/>
      <c r="E159" s="4"/>
      <c r="F159" s="4"/>
      <c r="G159" s="4"/>
      <c r="H159" s="232"/>
    </row>
    <row r="160" spans="1:8" s="1" customFormat="1" x14ac:dyDescent="0.2">
      <c r="A160" s="62"/>
      <c r="B160" s="4"/>
      <c r="C160" s="4"/>
      <c r="D160" s="4"/>
      <c r="E160" s="4"/>
      <c r="F160" s="4"/>
      <c r="G160" s="4"/>
      <c r="H160" s="232"/>
    </row>
    <row r="161" spans="1:8" s="1" customFormat="1" x14ac:dyDescent="0.2">
      <c r="A161" s="62" t="s">
        <v>1723</v>
      </c>
      <c r="B161" s="4"/>
      <c r="C161" s="4"/>
      <c r="D161" s="4"/>
      <c r="E161" s="4"/>
      <c r="F161" s="1" t="s">
        <v>1724</v>
      </c>
      <c r="G161" s="4"/>
      <c r="H161" s="232"/>
    </row>
    <row r="162" spans="1:8" s="1" customFormat="1" x14ac:dyDescent="0.2">
      <c r="A162" s="62"/>
      <c r="B162" s="4"/>
      <c r="C162" s="4"/>
      <c r="D162" s="4"/>
      <c r="E162" s="4"/>
      <c r="F162" s="1" t="s">
        <v>1725</v>
      </c>
      <c r="G162" s="4"/>
      <c r="H162" s="232"/>
    </row>
    <row r="163" spans="1:8" s="1" customFormat="1" x14ac:dyDescent="0.2">
      <c r="A163" s="62"/>
      <c r="B163" s="4"/>
      <c r="C163" s="4"/>
      <c r="D163" s="4"/>
      <c r="E163" s="4"/>
      <c r="F163" s="1" t="s">
        <v>1726</v>
      </c>
      <c r="G163" s="4"/>
      <c r="H163" s="232"/>
    </row>
    <row r="164" spans="1:8" s="1" customFormat="1" x14ac:dyDescent="0.2">
      <c r="A164" s="62"/>
      <c r="B164" s="4"/>
      <c r="C164" s="4"/>
      <c r="D164" s="4"/>
      <c r="E164" s="4"/>
      <c r="F164" s="1" t="s">
        <v>1727</v>
      </c>
      <c r="G164" s="4"/>
      <c r="H164" s="232"/>
    </row>
    <row r="165" spans="1:8" s="1" customFormat="1" x14ac:dyDescent="0.2">
      <c r="A165" s="62"/>
      <c r="B165" s="4"/>
      <c r="C165" s="4"/>
      <c r="D165" s="4"/>
      <c r="E165" s="4"/>
      <c r="F165" s="1" t="s">
        <v>1728</v>
      </c>
      <c r="G165" s="4"/>
      <c r="H165" s="232"/>
    </row>
    <row r="166" spans="1:8" s="1" customFormat="1" x14ac:dyDescent="0.2">
      <c r="A166" s="160"/>
      <c r="B166" s="4"/>
      <c r="C166" s="4"/>
      <c r="D166" s="4"/>
      <c r="E166" s="4"/>
      <c r="F166" s="4"/>
      <c r="G166" s="4"/>
      <c r="H166" s="232"/>
    </row>
    <row r="167" spans="1:8" s="1" customFormat="1" x14ac:dyDescent="0.2">
      <c r="A167" s="62" t="s">
        <v>1729</v>
      </c>
      <c r="B167" s="4"/>
      <c r="C167" s="4"/>
      <c r="D167" s="4"/>
      <c r="E167" s="4"/>
      <c r="F167" s="4"/>
      <c r="G167" s="4"/>
      <c r="H167" s="232"/>
    </row>
    <row r="168" spans="1:8" s="1" customFormat="1" ht="17" thickBot="1" x14ac:dyDescent="0.25">
      <c r="A168" s="160"/>
      <c r="B168" s="4"/>
      <c r="C168" s="4"/>
      <c r="D168" s="4"/>
      <c r="E168" s="4"/>
      <c r="F168" s="4"/>
      <c r="G168" s="4"/>
      <c r="H168" s="232"/>
    </row>
    <row r="169" spans="1:8" s="1" customFormat="1" x14ac:dyDescent="0.2">
      <c r="A169" s="69" t="s">
        <v>1640</v>
      </c>
      <c r="B169" s="113"/>
      <c r="C169" s="113"/>
      <c r="D169" s="113"/>
      <c r="E169" s="113"/>
      <c r="F169" s="113"/>
      <c r="G169" s="113"/>
      <c r="H169" s="236"/>
    </row>
    <row r="170" spans="1:8" s="1" customFormat="1" ht="17" thickBot="1" x14ac:dyDescent="0.25">
      <c r="A170" s="65" t="s">
        <v>1641</v>
      </c>
      <c r="B170" s="115"/>
      <c r="C170" s="115"/>
      <c r="D170" s="115"/>
      <c r="E170" s="115"/>
      <c r="F170" s="115"/>
      <c r="G170" s="115"/>
      <c r="H170" s="238"/>
    </row>
    <row r="171" spans="1:8" s="1" customFormat="1" x14ac:dyDescent="0.2">
      <c r="A171" s="160"/>
      <c r="B171" s="4"/>
      <c r="C171" s="4"/>
      <c r="D171" s="4"/>
      <c r="E171" s="4"/>
      <c r="F171" s="4"/>
      <c r="G171" s="4"/>
      <c r="H171" s="232"/>
    </row>
    <row r="172" spans="1:8" s="1" customFormat="1" x14ac:dyDescent="0.2">
      <c r="A172" s="62" t="s">
        <v>1733</v>
      </c>
      <c r="B172" s="4"/>
      <c r="C172" s="4"/>
      <c r="D172" s="4"/>
      <c r="E172" s="4"/>
      <c r="F172" s="4" t="s">
        <v>1721</v>
      </c>
      <c r="H172" s="4" t="s">
        <v>1731</v>
      </c>
    </row>
    <row r="173" spans="1:8" s="1" customFormat="1" x14ac:dyDescent="0.2">
      <c r="A173" s="160"/>
      <c r="B173" s="4"/>
      <c r="C173" s="4"/>
      <c r="D173" s="4"/>
      <c r="E173" s="4"/>
      <c r="F173" s="4"/>
      <c r="G173" s="4"/>
      <c r="H173" s="232"/>
    </row>
    <row r="174" spans="1:8" s="1" customFormat="1" x14ac:dyDescent="0.2">
      <c r="A174" s="62" t="s">
        <v>1734</v>
      </c>
      <c r="B174" s="4"/>
      <c r="C174" s="4"/>
      <c r="D174" s="4"/>
      <c r="E174" s="4"/>
      <c r="F174" s="4" t="s">
        <v>1732</v>
      </c>
      <c r="G174" s="4"/>
      <c r="H174" s="232"/>
    </row>
    <row r="175" spans="1:8" s="1" customFormat="1" x14ac:dyDescent="0.2">
      <c r="A175" s="160"/>
      <c r="B175" s="4"/>
      <c r="C175" s="4"/>
      <c r="D175" s="4"/>
      <c r="E175" s="4"/>
      <c r="F175" s="4"/>
      <c r="G175" s="4"/>
      <c r="H175" s="232"/>
    </row>
    <row r="176" spans="1:8" s="1" customFormat="1" x14ac:dyDescent="0.2">
      <c r="A176" s="62" t="s">
        <v>1736</v>
      </c>
      <c r="B176" s="4"/>
      <c r="C176" s="4"/>
      <c r="D176" s="249">
        <f>3000/4</f>
        <v>750</v>
      </c>
      <c r="E176" s="4"/>
      <c r="F176" s="4" t="s">
        <v>1735</v>
      </c>
      <c r="G176" s="4"/>
      <c r="H176" s="232"/>
    </row>
    <row r="177" spans="1:8" s="1" customFormat="1" x14ac:dyDescent="0.2">
      <c r="A177" s="160"/>
      <c r="B177" s="4"/>
      <c r="C177" s="4"/>
      <c r="D177" s="4"/>
      <c r="E177" s="4"/>
      <c r="F177" s="4"/>
      <c r="G177" s="4"/>
      <c r="H177" s="232"/>
    </row>
    <row r="178" spans="1:8" s="1" customFormat="1" x14ac:dyDescent="0.2">
      <c r="A178" s="160"/>
      <c r="B178" s="4"/>
      <c r="C178" s="4"/>
      <c r="D178" s="249">
        <f>750+500</f>
        <v>1250</v>
      </c>
      <c r="E178" s="4"/>
      <c r="F178" s="4" t="s">
        <v>1737</v>
      </c>
      <c r="G178" s="4"/>
      <c r="H178" s="232"/>
    </row>
    <row r="179" spans="1:8" s="1" customFormat="1" x14ac:dyDescent="0.2">
      <c r="A179" s="160"/>
      <c r="B179" s="4"/>
      <c r="C179" s="4"/>
      <c r="D179" s="4"/>
      <c r="E179" s="4"/>
      <c r="F179" s="4"/>
      <c r="G179" s="4"/>
      <c r="H179" s="232"/>
    </row>
    <row r="180" spans="1:8" s="1" customFormat="1" x14ac:dyDescent="0.2">
      <c r="A180" s="160"/>
      <c r="B180" s="4"/>
      <c r="C180" s="4"/>
      <c r="D180" s="4"/>
      <c r="E180" s="4"/>
      <c r="F180" s="4" t="s">
        <v>1738</v>
      </c>
      <c r="G180" s="4"/>
      <c r="H180" s="232"/>
    </row>
    <row r="181" spans="1:8" s="1" customFormat="1" x14ac:dyDescent="0.2">
      <c r="A181" s="160"/>
      <c r="B181" s="4"/>
      <c r="C181" s="4"/>
      <c r="D181" s="4"/>
      <c r="E181" s="4"/>
      <c r="F181" s="4"/>
      <c r="G181" s="4"/>
      <c r="H181" s="232"/>
    </row>
    <row r="182" spans="1:8" s="1" customFormat="1" x14ac:dyDescent="0.2">
      <c r="A182" s="160"/>
      <c r="B182" s="4"/>
      <c r="C182" s="4"/>
      <c r="D182" s="4"/>
      <c r="E182" s="4"/>
      <c r="F182" s="4" t="s">
        <v>1739</v>
      </c>
      <c r="G182" s="4"/>
      <c r="H182" s="232"/>
    </row>
    <row r="183" spans="1:8" s="1" customFormat="1" x14ac:dyDescent="0.2">
      <c r="A183" s="160"/>
      <c r="B183" s="4"/>
      <c r="C183" s="4"/>
      <c r="D183" s="4"/>
      <c r="E183" s="4"/>
      <c r="F183" s="4"/>
      <c r="G183" s="4"/>
      <c r="H183" s="232"/>
    </row>
    <row r="184" spans="1:8" s="1" customFormat="1" x14ac:dyDescent="0.2">
      <c r="A184" s="62" t="s">
        <v>1740</v>
      </c>
      <c r="B184" s="4"/>
      <c r="C184" s="4"/>
      <c r="D184" s="4"/>
      <c r="E184" s="4"/>
      <c r="F184" s="4"/>
      <c r="G184" s="4"/>
      <c r="H184" s="232"/>
    </row>
    <row r="185" spans="1:8" s="1" customFormat="1" ht="17" thickBot="1" x14ac:dyDescent="0.25">
      <c r="A185" s="62"/>
      <c r="B185" s="4"/>
      <c r="C185" s="4"/>
      <c r="D185" s="4"/>
      <c r="E185" s="4"/>
      <c r="F185" s="4"/>
      <c r="G185" s="4"/>
      <c r="H185" s="232"/>
    </row>
    <row r="186" spans="1:8" s="1" customFormat="1" ht="17" thickBot="1" x14ac:dyDescent="0.25">
      <c r="A186" s="247" t="s">
        <v>1642</v>
      </c>
      <c r="B186" s="8"/>
      <c r="C186" s="8"/>
      <c r="D186" s="8"/>
      <c r="E186" s="8"/>
      <c r="F186" s="8"/>
      <c r="G186" s="8"/>
      <c r="H186" s="235"/>
    </row>
    <row r="187" spans="1:8" s="1" customFormat="1" x14ac:dyDescent="0.2">
      <c r="A187" s="62" t="s">
        <v>1743</v>
      </c>
      <c r="B187" s="4"/>
      <c r="C187" s="4"/>
      <c r="D187" s="4"/>
      <c r="E187" s="4"/>
      <c r="F187" s="4"/>
      <c r="G187" s="4"/>
      <c r="H187" s="232"/>
    </row>
    <row r="188" spans="1:8" s="1" customFormat="1" x14ac:dyDescent="0.2">
      <c r="A188" s="62" t="s">
        <v>1741</v>
      </c>
      <c r="B188" s="4"/>
      <c r="C188" s="4"/>
      <c r="D188" s="4"/>
      <c r="E188" s="4"/>
      <c r="F188" s="4"/>
      <c r="G188" s="4"/>
      <c r="H188" s="232"/>
    </row>
    <row r="189" spans="1:8" s="1" customFormat="1" x14ac:dyDescent="0.2">
      <c r="A189" s="62"/>
      <c r="B189" s="4"/>
      <c r="C189" s="4"/>
      <c r="D189" s="4"/>
      <c r="E189" s="4"/>
      <c r="F189" s="4"/>
      <c r="G189" s="4"/>
      <c r="H189" s="232"/>
    </row>
    <row r="190" spans="1:8" s="1" customFormat="1" x14ac:dyDescent="0.2">
      <c r="A190" s="62" t="s">
        <v>1742</v>
      </c>
      <c r="B190" s="4"/>
      <c r="C190" s="4"/>
      <c r="D190" s="4"/>
      <c r="E190" s="4"/>
      <c r="F190" s="4"/>
      <c r="G190" s="4"/>
      <c r="H190" s="232"/>
    </row>
    <row r="191" spans="1:8" s="1" customFormat="1" ht="17" thickBot="1" x14ac:dyDescent="0.25">
      <c r="A191" s="62"/>
      <c r="B191" s="4"/>
      <c r="C191" s="4"/>
      <c r="D191" s="4"/>
      <c r="E191" s="4"/>
      <c r="F191" s="4"/>
      <c r="G191" s="4"/>
      <c r="H191" s="232"/>
    </row>
    <row r="192" spans="1:8" s="1" customFormat="1" x14ac:dyDescent="0.2">
      <c r="A192" s="69" t="s">
        <v>1643</v>
      </c>
      <c r="B192" s="113"/>
      <c r="C192" s="113"/>
      <c r="D192" s="113"/>
      <c r="E192" s="113"/>
      <c r="F192" s="113"/>
      <c r="G192" s="113"/>
      <c r="H192" s="236"/>
    </row>
    <row r="193" spans="1:8" s="1" customFormat="1" ht="17" thickBot="1" x14ac:dyDescent="0.25">
      <c r="A193" s="65" t="s">
        <v>1644</v>
      </c>
      <c r="B193" s="115"/>
      <c r="C193" s="115"/>
      <c r="D193" s="115"/>
      <c r="E193" s="115"/>
      <c r="F193" s="115"/>
      <c r="G193" s="115"/>
      <c r="H193" s="238"/>
    </row>
    <row r="194" spans="1:8" s="1" customFormat="1" x14ac:dyDescent="0.2">
      <c r="A194" s="62"/>
      <c r="B194" s="4"/>
      <c r="C194" s="4"/>
      <c r="D194" s="4"/>
      <c r="E194" s="4"/>
      <c r="F194" s="4"/>
      <c r="G194" s="4"/>
      <c r="H194" s="232"/>
    </row>
    <row r="195" spans="1:8" s="1" customFormat="1" x14ac:dyDescent="0.2">
      <c r="A195" s="62" t="s">
        <v>1744</v>
      </c>
      <c r="B195" s="4"/>
      <c r="C195" s="4"/>
      <c r="D195" s="4"/>
      <c r="E195" s="4"/>
      <c r="F195" s="4"/>
      <c r="G195" s="4"/>
      <c r="H195" s="232"/>
    </row>
    <row r="196" spans="1:8" s="1" customFormat="1" x14ac:dyDescent="0.2">
      <c r="A196" s="62" t="s">
        <v>1745</v>
      </c>
      <c r="B196" s="4"/>
      <c r="C196" s="4"/>
      <c r="D196" s="4"/>
      <c r="E196" s="4"/>
      <c r="F196" s="4"/>
      <c r="G196" s="4"/>
      <c r="H196" s="232"/>
    </row>
    <row r="197" spans="1:8" s="1" customFormat="1" x14ac:dyDescent="0.2">
      <c r="A197" s="62" t="s">
        <v>1746</v>
      </c>
      <c r="B197" s="4"/>
      <c r="C197" s="4"/>
      <c r="D197" s="4"/>
      <c r="E197" s="4"/>
      <c r="F197" s="4"/>
      <c r="G197" s="4"/>
      <c r="H197" s="232"/>
    </row>
    <row r="198" spans="1:8" s="1" customFormat="1" x14ac:dyDescent="0.2">
      <c r="A198" s="62" t="s">
        <v>1747</v>
      </c>
      <c r="B198" s="4"/>
      <c r="C198" s="4"/>
      <c r="D198" s="4"/>
      <c r="E198" s="4"/>
      <c r="F198" s="4"/>
      <c r="G198" s="4"/>
      <c r="H198" s="232"/>
    </row>
    <row r="199" spans="1:8" s="1" customFormat="1" x14ac:dyDescent="0.2">
      <c r="A199" s="62" t="s">
        <v>1748</v>
      </c>
      <c r="B199" s="4"/>
      <c r="C199" s="4"/>
      <c r="D199" s="4"/>
      <c r="E199" s="4"/>
      <c r="F199" s="4"/>
      <c r="G199" s="4"/>
      <c r="H199" s="232"/>
    </row>
    <row r="200" spans="1:8" s="1" customFormat="1" x14ac:dyDescent="0.2">
      <c r="A200" s="62" t="s">
        <v>1749</v>
      </c>
      <c r="B200" s="4"/>
      <c r="C200" s="4"/>
      <c r="D200" s="4"/>
      <c r="E200" s="4"/>
      <c r="F200" s="4"/>
      <c r="G200" s="4"/>
      <c r="H200" s="232"/>
    </row>
    <row r="201" spans="1:8" s="1" customFormat="1" x14ac:dyDescent="0.2">
      <c r="A201" s="62" t="s">
        <v>1750</v>
      </c>
      <c r="B201" s="4"/>
      <c r="C201" s="4"/>
      <c r="D201" s="4"/>
      <c r="E201" s="4"/>
      <c r="F201" s="4"/>
      <c r="G201" s="4"/>
      <c r="H201" s="232"/>
    </row>
    <row r="202" spans="1:8" s="1" customFormat="1" x14ac:dyDescent="0.2">
      <c r="A202" s="160"/>
      <c r="B202" s="4"/>
      <c r="C202" s="4"/>
      <c r="D202" s="4"/>
      <c r="E202" s="4"/>
      <c r="F202" s="4"/>
      <c r="G202" s="4"/>
      <c r="H202" s="232"/>
    </row>
    <row r="203" spans="1:8" s="1" customFormat="1" x14ac:dyDescent="0.2">
      <c r="A203" s="117" t="s">
        <v>1645</v>
      </c>
      <c r="B203" s="117"/>
      <c r="C203" s="117" t="s">
        <v>1686</v>
      </c>
      <c r="D203" s="117"/>
      <c r="E203" s="117"/>
      <c r="F203" s="117"/>
      <c r="G203" s="117"/>
      <c r="H203" s="117"/>
    </row>
    <row r="204" spans="1:8" s="1" customFormat="1" x14ac:dyDescent="0.2">
      <c r="A204" s="62" t="s">
        <v>1646</v>
      </c>
      <c r="B204" s="4"/>
      <c r="C204" s="4"/>
      <c r="D204" s="4"/>
      <c r="E204" s="4"/>
      <c r="F204" s="4"/>
      <c r="G204" s="4"/>
      <c r="H204" s="232"/>
    </row>
    <row r="205" spans="1:8" s="1" customFormat="1" x14ac:dyDescent="0.2">
      <c r="A205" s="62" t="s">
        <v>1647</v>
      </c>
      <c r="B205" s="4"/>
      <c r="C205" s="4"/>
      <c r="D205" s="4"/>
      <c r="E205" s="4"/>
      <c r="F205" s="4"/>
      <c r="G205" s="4"/>
      <c r="H205" s="232"/>
    </row>
    <row r="206" spans="1:8" s="1" customFormat="1" x14ac:dyDescent="0.2">
      <c r="A206" s="62" t="s">
        <v>1648</v>
      </c>
      <c r="B206" s="4"/>
      <c r="C206" s="4"/>
      <c r="D206" s="4"/>
      <c r="E206" s="4"/>
      <c r="F206" s="4"/>
      <c r="G206" s="4"/>
      <c r="H206" s="232"/>
    </row>
    <row r="207" spans="1:8" s="1" customFormat="1" x14ac:dyDescent="0.2">
      <c r="A207" s="62" t="s">
        <v>1649</v>
      </c>
      <c r="B207" s="4"/>
      <c r="C207" s="4"/>
      <c r="D207" s="4"/>
      <c r="E207" s="4"/>
      <c r="F207" s="4"/>
      <c r="G207" s="4"/>
      <c r="H207" s="232"/>
    </row>
    <row r="208" spans="1:8" s="1" customFormat="1" x14ac:dyDescent="0.2">
      <c r="A208" s="62" t="s">
        <v>1650</v>
      </c>
      <c r="B208" s="4"/>
      <c r="C208" s="4"/>
      <c r="D208" s="4"/>
      <c r="E208" s="4"/>
      <c r="F208" s="4"/>
      <c r="G208" s="4"/>
      <c r="H208" s="232"/>
    </row>
    <row r="209" spans="1:8" s="1" customFormat="1" x14ac:dyDescent="0.2">
      <c r="A209" s="62" t="s">
        <v>1651</v>
      </c>
      <c r="B209" s="4"/>
      <c r="C209" s="4"/>
      <c r="D209" s="4"/>
      <c r="E209" s="4"/>
      <c r="F209" s="4"/>
      <c r="G209" s="4"/>
      <c r="H209" s="232"/>
    </row>
    <row r="210" spans="1:8" s="1" customFormat="1" x14ac:dyDescent="0.2">
      <c r="A210" s="62" t="s">
        <v>1652</v>
      </c>
      <c r="B210" s="4"/>
      <c r="C210" s="4"/>
      <c r="D210" s="4"/>
      <c r="E210" s="4"/>
      <c r="F210" s="4"/>
      <c r="G210" s="4"/>
      <c r="H210" s="232"/>
    </row>
    <row r="211" spans="1:8" s="1" customFormat="1" x14ac:dyDescent="0.2">
      <c r="A211" s="62" t="s">
        <v>1653</v>
      </c>
      <c r="B211" s="4"/>
      <c r="C211" s="4"/>
      <c r="D211" s="4"/>
      <c r="E211" s="4"/>
      <c r="F211" s="4"/>
      <c r="G211" s="4"/>
      <c r="H211" s="232"/>
    </row>
    <row r="212" spans="1:8" s="1" customFormat="1" x14ac:dyDescent="0.2">
      <c r="A212" s="62" t="s">
        <v>1654</v>
      </c>
      <c r="B212" s="4"/>
      <c r="C212" s="4"/>
      <c r="D212" s="4"/>
      <c r="E212" s="4"/>
      <c r="F212" s="4"/>
      <c r="G212" s="4"/>
      <c r="H212" s="232"/>
    </row>
    <row r="213" spans="1:8" s="1" customFormat="1" x14ac:dyDescent="0.2">
      <c r="A213" s="62" t="s">
        <v>1655</v>
      </c>
      <c r="B213" s="4"/>
      <c r="C213" s="4"/>
      <c r="D213" s="4"/>
      <c r="E213" s="4"/>
      <c r="F213" s="4"/>
      <c r="G213" s="4"/>
      <c r="H213" s="232"/>
    </row>
    <row r="214" spans="1:8" s="1" customFormat="1" x14ac:dyDescent="0.2">
      <c r="A214" s="62" t="s">
        <v>1656</v>
      </c>
      <c r="B214" s="4"/>
      <c r="C214" s="4"/>
      <c r="D214" s="4"/>
      <c r="E214" s="4"/>
      <c r="F214" s="4"/>
      <c r="G214" s="4"/>
      <c r="H214" s="232"/>
    </row>
    <row r="215" spans="1:8" s="1" customFormat="1" x14ac:dyDescent="0.2">
      <c r="A215" s="62" t="s">
        <v>1657</v>
      </c>
      <c r="B215" s="4"/>
      <c r="C215" s="4"/>
      <c r="D215" s="4"/>
      <c r="E215" s="4"/>
      <c r="F215" s="4"/>
      <c r="G215" s="4"/>
      <c r="H215" s="232"/>
    </row>
    <row r="216" spans="1:8" s="1" customFormat="1" x14ac:dyDescent="0.2">
      <c r="A216" s="160"/>
      <c r="B216" s="4"/>
      <c r="C216" s="4"/>
      <c r="D216" s="4"/>
      <c r="E216" s="4"/>
      <c r="F216" s="4"/>
      <c r="G216" s="4"/>
      <c r="H216" s="232"/>
    </row>
    <row r="217" spans="1:8" s="1" customFormat="1" x14ac:dyDescent="0.2">
      <c r="A217" s="160" t="s">
        <v>78</v>
      </c>
      <c r="B217" s="4"/>
      <c r="C217" s="4"/>
      <c r="D217" s="4"/>
      <c r="E217" s="4"/>
      <c r="F217" s="4"/>
      <c r="G217" s="4"/>
      <c r="H217" s="232"/>
    </row>
    <row r="218" spans="1:8" s="1" customFormat="1" ht="17" thickBot="1" x14ac:dyDescent="0.25">
      <c r="A218" s="160"/>
      <c r="B218" s="4"/>
      <c r="C218" s="4"/>
      <c r="D218" s="4"/>
      <c r="E218" s="4"/>
      <c r="F218" s="4"/>
      <c r="G218" s="4"/>
      <c r="H218" s="232"/>
    </row>
    <row r="219" spans="1:8" s="1" customFormat="1" x14ac:dyDescent="0.2">
      <c r="A219" s="69" t="s">
        <v>1647</v>
      </c>
      <c r="B219" s="113"/>
      <c r="C219" s="113"/>
      <c r="D219" s="113"/>
      <c r="E219" s="113"/>
      <c r="F219" s="113"/>
      <c r="G219" s="113"/>
      <c r="H219" s="236"/>
    </row>
    <row r="220" spans="1:8" s="1" customFormat="1" x14ac:dyDescent="0.2">
      <c r="A220" s="64" t="s">
        <v>1648</v>
      </c>
      <c r="B220" s="4"/>
      <c r="C220" s="4"/>
      <c r="D220" s="4"/>
      <c r="E220" s="4"/>
      <c r="F220" s="4"/>
      <c r="G220" s="4"/>
      <c r="H220" s="237"/>
    </row>
    <row r="221" spans="1:8" s="1" customFormat="1" x14ac:dyDescent="0.2">
      <c r="A221" s="64" t="s">
        <v>1649</v>
      </c>
      <c r="B221" s="4"/>
      <c r="C221" s="4"/>
      <c r="D221" s="4"/>
      <c r="E221" s="4"/>
      <c r="F221" s="4"/>
      <c r="G221" s="4"/>
      <c r="H221" s="237"/>
    </row>
    <row r="222" spans="1:8" s="1" customFormat="1" ht="17" thickBot="1" x14ac:dyDescent="0.25">
      <c r="A222" s="65" t="s">
        <v>1650</v>
      </c>
      <c r="B222" s="115"/>
      <c r="C222" s="115"/>
      <c r="D222" s="115"/>
      <c r="E222" s="115"/>
      <c r="F222" s="115"/>
      <c r="G222" s="115"/>
      <c r="H222" s="238"/>
    </row>
    <row r="223" spans="1:8" s="1" customFormat="1" x14ac:dyDescent="0.2">
      <c r="A223" s="160"/>
      <c r="B223" s="4"/>
      <c r="C223" s="4"/>
      <c r="D223" s="4"/>
      <c r="E223" s="4"/>
      <c r="F223" s="4"/>
      <c r="G223" s="4"/>
      <c r="H223" s="232"/>
    </row>
    <row r="224" spans="1:8" s="1" customFormat="1" x14ac:dyDescent="0.2">
      <c r="A224" s="156"/>
      <c r="B224" s="21" t="s">
        <v>1754</v>
      </c>
      <c r="C224" s="4"/>
      <c r="D224" s="4"/>
      <c r="E224" s="1" t="s">
        <v>1753</v>
      </c>
      <c r="F224" s="4"/>
      <c r="G224" s="4"/>
      <c r="H224" s="232"/>
    </row>
    <row r="225" spans="1:8" s="1" customFormat="1" x14ac:dyDescent="0.2">
      <c r="A225" s="156">
        <v>70</v>
      </c>
      <c r="B225" s="21" t="s">
        <v>1751</v>
      </c>
      <c r="C225" s="4"/>
      <c r="D225" s="156">
        <v>80</v>
      </c>
      <c r="E225" s="21" t="s">
        <v>1751</v>
      </c>
      <c r="F225" s="4"/>
      <c r="G225" s="4"/>
      <c r="H225" s="232"/>
    </row>
    <row r="226" spans="1:8" s="1" customFormat="1" x14ac:dyDescent="0.2">
      <c r="A226" s="156">
        <v>15</v>
      </c>
      <c r="B226" s="21" t="s">
        <v>1752</v>
      </c>
      <c r="C226" s="4"/>
      <c r="D226" s="156">
        <v>7</v>
      </c>
      <c r="E226" s="21" t="s">
        <v>1752</v>
      </c>
      <c r="F226" s="4"/>
      <c r="G226" s="4"/>
      <c r="H226" s="232"/>
    </row>
    <row r="227" spans="1:8" s="1" customFormat="1" x14ac:dyDescent="0.2">
      <c r="A227" s="160"/>
      <c r="B227" s="4"/>
      <c r="C227" s="4"/>
      <c r="D227" s="4"/>
      <c r="E227" s="4"/>
      <c r="F227" s="4"/>
      <c r="G227" s="4"/>
      <c r="H227" s="232"/>
    </row>
    <row r="228" spans="1:8" s="1" customFormat="1" x14ac:dyDescent="0.2">
      <c r="A228" s="242"/>
      <c r="B228" s="127" t="s">
        <v>262</v>
      </c>
      <c r="C228" s="127" t="s">
        <v>262</v>
      </c>
      <c r="D228" s="127" t="s">
        <v>1250</v>
      </c>
      <c r="E228" s="4"/>
      <c r="F228" s="4"/>
      <c r="G228" s="4"/>
      <c r="H228" s="232" t="s">
        <v>381</v>
      </c>
    </row>
    <row r="229" spans="1:8" s="1" customFormat="1" x14ac:dyDescent="0.2">
      <c r="A229" s="250" t="s">
        <v>71</v>
      </c>
      <c r="B229" s="251" t="s">
        <v>1755</v>
      </c>
      <c r="C229" s="251" t="s">
        <v>1756</v>
      </c>
      <c r="D229" s="251" t="s">
        <v>262</v>
      </c>
      <c r="E229" s="4"/>
      <c r="F229" s="4"/>
      <c r="G229" s="4"/>
      <c r="H229" s="232"/>
    </row>
    <row r="230" spans="1:8" s="1" customFormat="1" x14ac:dyDescent="0.2">
      <c r="A230" s="156">
        <v>0</v>
      </c>
      <c r="B230" s="127">
        <f>-A226</f>
        <v>-15</v>
      </c>
      <c r="C230" s="127">
        <f>--D226</f>
        <v>7</v>
      </c>
      <c r="D230" s="127">
        <f>B230+C230</f>
        <v>-8</v>
      </c>
      <c r="E230" s="4"/>
      <c r="F230" s="4"/>
      <c r="G230" s="4"/>
      <c r="H230" s="232"/>
    </row>
    <row r="231" spans="1:8" s="1" customFormat="1" x14ac:dyDescent="0.2">
      <c r="A231" s="156">
        <f>A230+10</f>
        <v>10</v>
      </c>
      <c r="B231" s="127">
        <f>B230</f>
        <v>-15</v>
      </c>
      <c r="C231" s="127">
        <f>C230</f>
        <v>7</v>
      </c>
      <c r="D231" s="127">
        <f t="shared" ref="D231:D244" si="0">B231+C231</f>
        <v>-8</v>
      </c>
      <c r="E231" s="4"/>
      <c r="F231" s="4"/>
      <c r="G231" s="4"/>
      <c r="H231" s="232"/>
    </row>
    <row r="232" spans="1:8" s="1" customFormat="1" x14ac:dyDescent="0.2">
      <c r="A232" s="156">
        <f t="shared" ref="A232:A244" si="1">A231+10</f>
        <v>20</v>
      </c>
      <c r="B232" s="127">
        <f t="shared" ref="B232:B237" si="2">B231</f>
        <v>-15</v>
      </c>
      <c r="C232" s="127">
        <f t="shared" ref="C232:C238" si="3">C231</f>
        <v>7</v>
      </c>
      <c r="D232" s="127">
        <f t="shared" si="0"/>
        <v>-8</v>
      </c>
      <c r="E232" s="4"/>
      <c r="F232" s="4"/>
      <c r="G232" s="4"/>
      <c r="H232" s="232"/>
    </row>
    <row r="233" spans="1:8" s="1" customFormat="1" x14ac:dyDescent="0.2">
      <c r="A233" s="156">
        <f t="shared" si="1"/>
        <v>30</v>
      </c>
      <c r="B233" s="127">
        <f t="shared" si="2"/>
        <v>-15</v>
      </c>
      <c r="C233" s="127">
        <f t="shared" si="3"/>
        <v>7</v>
      </c>
      <c r="D233" s="127">
        <f t="shared" si="0"/>
        <v>-8</v>
      </c>
      <c r="E233" s="4"/>
      <c r="F233" s="4"/>
      <c r="G233" s="4"/>
      <c r="H233" s="232"/>
    </row>
    <row r="234" spans="1:8" s="1" customFormat="1" x14ac:dyDescent="0.2">
      <c r="A234" s="156">
        <f t="shared" si="1"/>
        <v>40</v>
      </c>
      <c r="B234" s="127">
        <f t="shared" si="2"/>
        <v>-15</v>
      </c>
      <c r="C234" s="127">
        <f t="shared" si="3"/>
        <v>7</v>
      </c>
      <c r="D234" s="127">
        <f t="shared" si="0"/>
        <v>-8</v>
      </c>
      <c r="E234" s="4"/>
      <c r="F234" s="4"/>
      <c r="G234" s="4"/>
      <c r="H234" s="232"/>
    </row>
    <row r="235" spans="1:8" s="1" customFormat="1" x14ac:dyDescent="0.2">
      <c r="A235" s="156">
        <f t="shared" si="1"/>
        <v>50</v>
      </c>
      <c r="B235" s="127">
        <f t="shared" si="2"/>
        <v>-15</v>
      </c>
      <c r="C235" s="127">
        <f t="shared" si="3"/>
        <v>7</v>
      </c>
      <c r="D235" s="127">
        <f t="shared" si="0"/>
        <v>-8</v>
      </c>
      <c r="E235" s="4"/>
      <c r="F235" s="4"/>
      <c r="G235" s="4"/>
      <c r="H235" s="232"/>
    </row>
    <row r="236" spans="1:8" s="1" customFormat="1" x14ac:dyDescent="0.2">
      <c r="A236" s="156">
        <f t="shared" si="1"/>
        <v>60</v>
      </c>
      <c r="B236" s="127">
        <f t="shared" si="2"/>
        <v>-15</v>
      </c>
      <c r="C236" s="127">
        <f t="shared" si="3"/>
        <v>7</v>
      </c>
      <c r="D236" s="127">
        <f t="shared" si="0"/>
        <v>-8</v>
      </c>
      <c r="E236" s="4"/>
      <c r="F236" s="4"/>
      <c r="G236" s="4"/>
      <c r="H236" s="232"/>
    </row>
    <row r="237" spans="1:8" s="1" customFormat="1" x14ac:dyDescent="0.2">
      <c r="A237" s="156">
        <f t="shared" si="1"/>
        <v>70</v>
      </c>
      <c r="B237" s="127">
        <f t="shared" si="2"/>
        <v>-15</v>
      </c>
      <c r="C237" s="127">
        <f t="shared" si="3"/>
        <v>7</v>
      </c>
      <c r="D237" s="127">
        <f t="shared" si="0"/>
        <v>-8</v>
      </c>
      <c r="E237" s="4"/>
      <c r="F237" s="4"/>
      <c r="G237" s="4"/>
      <c r="H237" s="232"/>
    </row>
    <row r="238" spans="1:8" s="1" customFormat="1" x14ac:dyDescent="0.2">
      <c r="A238" s="156">
        <f t="shared" si="1"/>
        <v>80</v>
      </c>
      <c r="B238" s="127">
        <f>A238-$A$225-$A$226</f>
        <v>-5</v>
      </c>
      <c r="C238" s="127">
        <f t="shared" si="3"/>
        <v>7</v>
      </c>
      <c r="D238" s="127">
        <f t="shared" si="0"/>
        <v>2</v>
      </c>
      <c r="E238" s="4"/>
      <c r="F238" s="4"/>
      <c r="G238" s="4"/>
      <c r="H238" s="232"/>
    </row>
    <row r="239" spans="1:8" s="1" customFormat="1" x14ac:dyDescent="0.2">
      <c r="A239" s="156">
        <f t="shared" si="1"/>
        <v>90</v>
      </c>
      <c r="B239" s="127">
        <f t="shared" ref="B239:B244" si="4">A239-$A$225-$A$226</f>
        <v>5</v>
      </c>
      <c r="C239" s="127">
        <f>-(A239-$D$225-$D$226)</f>
        <v>-3</v>
      </c>
      <c r="D239" s="127">
        <f t="shared" si="0"/>
        <v>2</v>
      </c>
      <c r="E239" s="127" t="s">
        <v>71</v>
      </c>
      <c r="F239" s="4"/>
      <c r="G239" s="4"/>
      <c r="H239" s="232"/>
    </row>
    <row r="240" spans="1:8" s="1" customFormat="1" x14ac:dyDescent="0.2">
      <c r="A240" s="156">
        <f t="shared" si="1"/>
        <v>100</v>
      </c>
      <c r="B240" s="127">
        <f t="shared" si="4"/>
        <v>15</v>
      </c>
      <c r="C240" s="127">
        <f t="shared" ref="C240:C244" si="5">-(A240-$D$225-$D$226)</f>
        <v>-13</v>
      </c>
      <c r="D240" s="127">
        <f t="shared" si="0"/>
        <v>2</v>
      </c>
      <c r="E240" s="4"/>
      <c r="F240" s="4"/>
      <c r="G240" s="4"/>
      <c r="H240" s="232"/>
    </row>
    <row r="241" spans="1:8" s="1" customFormat="1" x14ac:dyDescent="0.2">
      <c r="A241" s="156">
        <f t="shared" si="1"/>
        <v>110</v>
      </c>
      <c r="B241" s="127">
        <f t="shared" si="4"/>
        <v>25</v>
      </c>
      <c r="C241" s="127">
        <f t="shared" si="5"/>
        <v>-23</v>
      </c>
      <c r="D241" s="127">
        <f t="shared" si="0"/>
        <v>2</v>
      </c>
      <c r="E241" s="4"/>
      <c r="F241" s="4"/>
      <c r="G241" s="4"/>
      <c r="H241" s="232"/>
    </row>
    <row r="242" spans="1:8" s="1" customFormat="1" x14ac:dyDescent="0.2">
      <c r="A242" s="156">
        <f t="shared" si="1"/>
        <v>120</v>
      </c>
      <c r="B242" s="127">
        <f t="shared" si="4"/>
        <v>35</v>
      </c>
      <c r="C242" s="127">
        <f t="shared" si="5"/>
        <v>-33</v>
      </c>
      <c r="D242" s="127">
        <f t="shared" si="0"/>
        <v>2</v>
      </c>
      <c r="E242" s="4"/>
      <c r="F242" s="4"/>
      <c r="G242" s="4"/>
      <c r="H242" s="232"/>
    </row>
    <row r="243" spans="1:8" s="1" customFormat="1" x14ac:dyDescent="0.2">
      <c r="A243" s="156">
        <f t="shared" si="1"/>
        <v>130</v>
      </c>
      <c r="B243" s="127">
        <f t="shared" si="4"/>
        <v>45</v>
      </c>
      <c r="C243" s="127">
        <f t="shared" si="5"/>
        <v>-43</v>
      </c>
      <c r="D243" s="127">
        <f t="shared" si="0"/>
        <v>2</v>
      </c>
      <c r="E243" s="4"/>
      <c r="F243" s="4"/>
      <c r="G243" s="4"/>
      <c r="H243" s="232"/>
    </row>
    <row r="244" spans="1:8" s="1" customFormat="1" x14ac:dyDescent="0.2">
      <c r="A244" s="156">
        <f t="shared" si="1"/>
        <v>140</v>
      </c>
      <c r="B244" s="127">
        <f t="shared" si="4"/>
        <v>55</v>
      </c>
      <c r="C244" s="127">
        <f t="shared" si="5"/>
        <v>-53</v>
      </c>
      <c r="D244" s="127">
        <f t="shared" si="0"/>
        <v>2</v>
      </c>
      <c r="E244" s="4"/>
      <c r="F244" s="4"/>
      <c r="G244" s="4"/>
      <c r="H244" s="232"/>
    </row>
    <row r="245" spans="1:8" s="1" customFormat="1" x14ac:dyDescent="0.2">
      <c r="A245" s="160"/>
      <c r="B245" s="4"/>
      <c r="C245" s="4"/>
      <c r="D245" s="4"/>
      <c r="E245" s="4"/>
      <c r="F245" s="4"/>
      <c r="G245" s="4"/>
      <c r="H245" s="232"/>
    </row>
    <row r="246" spans="1:8" s="1" customFormat="1" x14ac:dyDescent="0.2">
      <c r="A246" s="160"/>
      <c r="B246" s="4"/>
      <c r="C246" s="4"/>
      <c r="D246" s="4"/>
      <c r="E246" s="4"/>
      <c r="F246" s="4"/>
      <c r="G246" s="4"/>
      <c r="H246" s="232"/>
    </row>
    <row r="247" spans="1:8" s="1" customFormat="1" x14ac:dyDescent="0.2">
      <c r="A247" s="1" t="s">
        <v>1757</v>
      </c>
      <c r="B247" s="4"/>
      <c r="C247" s="4"/>
      <c r="D247" s="4"/>
      <c r="E247" s="4"/>
      <c r="F247" s="4"/>
      <c r="G247" s="4"/>
      <c r="H247" s="232"/>
    </row>
    <row r="248" spans="1:8" s="1" customFormat="1" x14ac:dyDescent="0.2">
      <c r="A248" s="62" t="s">
        <v>1758</v>
      </c>
      <c r="B248" s="4"/>
      <c r="C248" s="4"/>
      <c r="D248" s="4"/>
      <c r="E248" s="4"/>
      <c r="F248" s="4"/>
      <c r="G248" s="4"/>
      <c r="H248" s="232"/>
    </row>
    <row r="249" spans="1:8" s="1" customFormat="1" x14ac:dyDescent="0.2">
      <c r="A249" s="62" t="s">
        <v>1759</v>
      </c>
      <c r="B249" s="4"/>
      <c r="C249" s="4"/>
      <c r="D249" s="4"/>
      <c r="E249" s="4"/>
      <c r="F249" s="4"/>
      <c r="G249" s="4"/>
      <c r="H249" s="232"/>
    </row>
    <row r="250" spans="1:8" s="1" customFormat="1" x14ac:dyDescent="0.2">
      <c r="A250" s="62" t="s">
        <v>1760</v>
      </c>
      <c r="B250" s="4"/>
      <c r="C250" s="4"/>
      <c r="D250" s="4"/>
      <c r="E250" s="4"/>
      <c r="F250" s="4"/>
      <c r="G250" s="4"/>
      <c r="H250" s="232"/>
    </row>
    <row r="251" spans="1:8" s="1" customFormat="1" x14ac:dyDescent="0.2">
      <c r="A251" s="62" t="s">
        <v>1761</v>
      </c>
      <c r="B251" s="4"/>
      <c r="C251" s="4"/>
      <c r="D251" s="4"/>
      <c r="E251" s="4"/>
      <c r="F251" s="4"/>
      <c r="G251" s="4"/>
      <c r="H251" s="232"/>
    </row>
    <row r="252" spans="1:8" s="1" customFormat="1" ht="17" thickBot="1" x14ac:dyDescent="0.25">
      <c r="A252" s="160"/>
      <c r="B252" s="4"/>
      <c r="C252" s="4"/>
      <c r="D252" s="4"/>
      <c r="E252" s="4"/>
      <c r="F252" s="4"/>
      <c r="G252" s="4"/>
      <c r="H252" s="232"/>
    </row>
    <row r="253" spans="1:8" s="1" customFormat="1" x14ac:dyDescent="0.2">
      <c r="A253" s="69" t="s">
        <v>1651</v>
      </c>
      <c r="B253" s="113"/>
      <c r="C253" s="113"/>
      <c r="D253" s="113"/>
      <c r="E253" s="113"/>
      <c r="F253" s="113"/>
      <c r="G253" s="113"/>
      <c r="H253" s="236"/>
    </row>
    <row r="254" spans="1:8" s="1" customFormat="1" x14ac:dyDescent="0.2">
      <c r="A254" s="64" t="s">
        <v>1652</v>
      </c>
      <c r="B254" s="4"/>
      <c r="C254" s="4"/>
      <c r="D254" s="4"/>
      <c r="E254" s="4"/>
      <c r="F254" s="4"/>
      <c r="G254" s="4"/>
      <c r="H254" s="237"/>
    </row>
    <row r="255" spans="1:8" s="1" customFormat="1" x14ac:dyDescent="0.2">
      <c r="A255" s="64" t="s">
        <v>1653</v>
      </c>
      <c r="B255" s="4"/>
      <c r="C255" s="4"/>
      <c r="D255" s="4"/>
      <c r="E255" s="4"/>
      <c r="F255" s="4"/>
      <c r="G255" s="4"/>
      <c r="H255" s="237"/>
    </row>
    <row r="256" spans="1:8" s="1" customFormat="1" ht="17" thickBot="1" x14ac:dyDescent="0.25">
      <c r="A256" s="65" t="s">
        <v>1654</v>
      </c>
      <c r="B256" s="115"/>
      <c r="C256" s="115"/>
      <c r="D256" s="115"/>
      <c r="E256" s="115"/>
      <c r="F256" s="115"/>
      <c r="G256" s="115"/>
      <c r="H256" s="238"/>
    </row>
    <row r="257" spans="1:8" s="1" customFormat="1" x14ac:dyDescent="0.2">
      <c r="A257" s="160"/>
      <c r="B257" s="4"/>
      <c r="C257" s="4"/>
      <c r="D257" s="4"/>
      <c r="E257" s="4"/>
      <c r="F257" s="4"/>
      <c r="G257" s="4"/>
      <c r="H257" s="232"/>
    </row>
    <row r="258" spans="1:8" s="1" customFormat="1" x14ac:dyDescent="0.2">
      <c r="A258" s="160"/>
      <c r="B258" s="4" t="s">
        <v>1762</v>
      </c>
      <c r="C258" s="4"/>
      <c r="D258" s="4"/>
      <c r="E258" s="4" t="s">
        <v>1764</v>
      </c>
      <c r="F258" s="4"/>
      <c r="G258" s="4"/>
      <c r="H258" s="232"/>
    </row>
    <row r="259" spans="1:8" s="1" customFormat="1" x14ac:dyDescent="0.2">
      <c r="A259" s="160"/>
      <c r="B259" s="4" t="s">
        <v>1763</v>
      </c>
      <c r="C259" s="4"/>
      <c r="D259" s="4"/>
      <c r="E259" s="4" t="s">
        <v>1765</v>
      </c>
      <c r="F259" s="4"/>
      <c r="G259" s="4"/>
      <c r="H259" s="232"/>
    </row>
    <row r="260" spans="1:8" s="1" customFormat="1" x14ac:dyDescent="0.2">
      <c r="A260" s="160" t="s">
        <v>1766</v>
      </c>
      <c r="B260" s="4">
        <v>100</v>
      </c>
      <c r="C260" s="4"/>
      <c r="D260" s="160" t="s">
        <v>1766</v>
      </c>
      <c r="E260" s="4">
        <v>100</v>
      </c>
      <c r="F260" s="4"/>
      <c r="G260" s="4"/>
      <c r="H260" s="232"/>
    </row>
    <row r="261" spans="1:8" s="1" customFormat="1" x14ac:dyDescent="0.2">
      <c r="A261" s="160"/>
      <c r="B261" s="4"/>
      <c r="C261" s="4"/>
      <c r="D261" s="4"/>
      <c r="E261" s="4"/>
      <c r="F261" s="4"/>
      <c r="G261" s="4"/>
      <c r="H261" s="232"/>
    </row>
    <row r="262" spans="1:8" s="1" customFormat="1" x14ac:dyDescent="0.2">
      <c r="A262" s="160" t="s">
        <v>1767</v>
      </c>
      <c r="B262" s="4"/>
      <c r="C262" s="4"/>
      <c r="D262" s="4"/>
      <c r="E262" s="4"/>
      <c r="F262" s="4"/>
      <c r="G262" s="4"/>
      <c r="H262" s="232"/>
    </row>
    <row r="263" spans="1:8" s="1" customFormat="1" x14ac:dyDescent="0.2">
      <c r="A263" s="160"/>
      <c r="B263" s="4"/>
      <c r="C263" s="4"/>
      <c r="D263" s="4"/>
      <c r="E263" s="4"/>
      <c r="F263" s="4"/>
      <c r="G263" s="4" t="s">
        <v>1768</v>
      </c>
      <c r="H263" s="232" t="s">
        <v>92</v>
      </c>
    </row>
    <row r="264" spans="1:8" s="1" customFormat="1" x14ac:dyDescent="0.2">
      <c r="A264" s="62" t="s">
        <v>1771</v>
      </c>
      <c r="C264" s="1">
        <f>30*100-1900</f>
        <v>1100</v>
      </c>
      <c r="D264" s="4"/>
      <c r="E264" s="4"/>
      <c r="F264" s="4"/>
      <c r="G264" s="1" t="s">
        <v>1769</v>
      </c>
      <c r="H264" s="232"/>
    </row>
    <row r="265" spans="1:8" s="1" customFormat="1" x14ac:dyDescent="0.2">
      <c r="A265" s="160"/>
      <c r="B265" s="4"/>
      <c r="C265" s="4"/>
      <c r="D265" s="4"/>
      <c r="E265" s="4"/>
      <c r="F265" s="4"/>
      <c r="G265" s="4"/>
      <c r="H265" s="232"/>
    </row>
    <row r="266" spans="1:8" s="1" customFormat="1" x14ac:dyDescent="0.2">
      <c r="A266" s="62" t="s">
        <v>1772</v>
      </c>
      <c r="C266" s="1">
        <f>(1630-1608)*100-1150</f>
        <v>1050</v>
      </c>
      <c r="G266" s="1" t="s">
        <v>1770</v>
      </c>
      <c r="H266" s="232"/>
    </row>
    <row r="267" spans="1:8" s="1" customFormat="1" x14ac:dyDescent="0.2">
      <c r="A267" s="62" t="s">
        <v>1773</v>
      </c>
      <c r="C267" s="1">
        <f>-C266</f>
        <v>-1050</v>
      </c>
      <c r="G267" s="1" t="s">
        <v>1774</v>
      </c>
      <c r="H267" s="232"/>
    </row>
    <row r="268" spans="1:8" s="1" customFormat="1" x14ac:dyDescent="0.2">
      <c r="A268" s="160"/>
      <c r="B268" s="4"/>
      <c r="C268" s="4"/>
      <c r="D268" s="4"/>
      <c r="E268" s="4"/>
      <c r="F268" s="4"/>
      <c r="G268" s="4"/>
      <c r="H268" s="232"/>
    </row>
    <row r="269" spans="1:8" s="1" customFormat="1" x14ac:dyDescent="0.2">
      <c r="A269" s="160" t="s">
        <v>1775</v>
      </c>
      <c r="B269" s="4"/>
      <c r="C269" s="57">
        <f>C264+C267</f>
        <v>50</v>
      </c>
      <c r="D269" s="4"/>
      <c r="E269" s="4"/>
      <c r="F269" s="4"/>
      <c r="G269" s="1" t="s">
        <v>1776</v>
      </c>
      <c r="H269" s="232"/>
    </row>
    <row r="270" spans="1:8" s="1" customFormat="1" ht="17" thickBot="1" x14ac:dyDescent="0.25">
      <c r="A270" s="160"/>
      <c r="B270" s="4"/>
      <c r="C270" s="4"/>
      <c r="D270" s="4"/>
      <c r="E270" s="4"/>
      <c r="F270" s="4"/>
      <c r="G270" s="4"/>
      <c r="H270" s="232"/>
    </row>
    <row r="271" spans="1:8" s="1" customFormat="1" x14ac:dyDescent="0.2">
      <c r="A271" s="69" t="s">
        <v>1655</v>
      </c>
      <c r="B271" s="113"/>
      <c r="C271" s="113"/>
      <c r="D271" s="113"/>
      <c r="E271" s="113"/>
      <c r="F271" s="113"/>
      <c r="G271" s="113"/>
      <c r="H271" s="236"/>
    </row>
    <row r="272" spans="1:8" s="1" customFormat="1" x14ac:dyDescent="0.2">
      <c r="A272" s="64" t="s">
        <v>1656</v>
      </c>
      <c r="B272" s="4"/>
      <c r="C272" s="4"/>
      <c r="D272" s="4"/>
      <c r="E272" s="4"/>
      <c r="F272" s="4"/>
      <c r="G272" s="4"/>
      <c r="H272" s="237"/>
    </row>
    <row r="273" spans="1:8" s="1" customFormat="1" ht="17" thickBot="1" x14ac:dyDescent="0.25">
      <c r="A273" s="65" t="s">
        <v>1657</v>
      </c>
      <c r="B273" s="115"/>
      <c r="C273" s="115"/>
      <c r="D273" s="115"/>
      <c r="E273" s="115"/>
      <c r="F273" s="115"/>
      <c r="G273" s="115"/>
      <c r="H273" s="238"/>
    </row>
    <row r="274" spans="1:8" s="1" customFormat="1" x14ac:dyDescent="0.2">
      <c r="A274" s="160"/>
      <c r="B274" s="4"/>
      <c r="C274" s="4"/>
      <c r="D274" s="4"/>
      <c r="E274" s="4"/>
      <c r="F274" s="4"/>
      <c r="G274" s="4"/>
      <c r="H274" s="232"/>
    </row>
    <row r="275" spans="1:8" s="1" customFormat="1" x14ac:dyDescent="0.2">
      <c r="A275" s="62" t="s">
        <v>1777</v>
      </c>
      <c r="B275" s="4"/>
      <c r="C275" s="4"/>
      <c r="D275" s="4"/>
      <c r="E275" s="4"/>
      <c r="F275" s="4"/>
      <c r="G275" s="4"/>
      <c r="H275" s="232"/>
    </row>
    <row r="276" spans="1:8" s="1" customFormat="1" x14ac:dyDescent="0.2">
      <c r="A276" s="62" t="s">
        <v>1778</v>
      </c>
      <c r="B276" s="4"/>
      <c r="C276" s="4"/>
      <c r="D276" s="4"/>
      <c r="E276" s="4"/>
      <c r="F276" s="4"/>
      <c r="G276" s="4"/>
      <c r="H276" s="232"/>
    </row>
    <row r="277" spans="1:8" s="1" customFormat="1" x14ac:dyDescent="0.2">
      <c r="A277" s="160"/>
      <c r="B277" s="4"/>
      <c r="C277" s="4"/>
      <c r="D277" s="4"/>
      <c r="E277" s="4"/>
      <c r="F277" s="4"/>
      <c r="G277" s="4"/>
      <c r="H277" s="232"/>
    </row>
    <row r="278" spans="1:8" s="1" customFormat="1" x14ac:dyDescent="0.2">
      <c r="A278" s="117" t="s">
        <v>1658</v>
      </c>
      <c r="B278" s="117"/>
      <c r="C278" s="117" t="s">
        <v>1686</v>
      </c>
      <c r="D278" s="117"/>
      <c r="E278" s="117"/>
      <c r="F278" s="117"/>
      <c r="G278" s="117"/>
      <c r="H278" s="117"/>
    </row>
    <row r="279" spans="1:8" s="1" customFormat="1" x14ac:dyDescent="0.2">
      <c r="A279" s="62" t="s">
        <v>1659</v>
      </c>
      <c r="B279" s="4"/>
      <c r="C279" s="4"/>
      <c r="D279" s="4"/>
      <c r="E279" s="4"/>
      <c r="F279" s="4"/>
      <c r="G279" s="4"/>
      <c r="H279" s="232"/>
    </row>
    <row r="280" spans="1:8" s="1" customFormat="1" x14ac:dyDescent="0.2">
      <c r="A280" s="62" t="s">
        <v>1660</v>
      </c>
      <c r="B280" s="4"/>
      <c r="C280" s="4"/>
      <c r="D280" s="4"/>
      <c r="E280" s="4"/>
      <c r="F280" s="4"/>
      <c r="G280" s="4"/>
      <c r="H280" s="232"/>
    </row>
    <row r="281" spans="1:8" s="1" customFormat="1" x14ac:dyDescent="0.2">
      <c r="A281" s="62" t="s">
        <v>1661</v>
      </c>
      <c r="B281" s="4"/>
      <c r="C281" s="4"/>
      <c r="D281" s="4"/>
      <c r="E281" s="4"/>
      <c r="F281" s="4"/>
      <c r="G281" s="4"/>
      <c r="H281" s="232"/>
    </row>
    <row r="282" spans="1:8" s="1" customFormat="1" x14ac:dyDescent="0.2">
      <c r="A282" s="160"/>
      <c r="B282" s="4"/>
      <c r="C282" s="4"/>
      <c r="D282" s="4"/>
      <c r="E282" s="4"/>
      <c r="F282" s="4"/>
      <c r="G282" s="4"/>
      <c r="H282" s="232"/>
    </row>
    <row r="283" spans="1:8" s="1" customFormat="1" x14ac:dyDescent="0.2">
      <c r="A283" s="160"/>
      <c r="B283" s="4"/>
      <c r="C283" s="75" t="s">
        <v>368</v>
      </c>
      <c r="D283" s="75" t="s">
        <v>394</v>
      </c>
      <c r="E283" s="4"/>
      <c r="F283" s="4"/>
      <c r="G283" s="4"/>
      <c r="H283" s="232"/>
    </row>
    <row r="284" spans="1:8" s="1" customFormat="1" x14ac:dyDescent="0.2">
      <c r="A284" s="160"/>
      <c r="B284" s="4"/>
      <c r="C284" s="21" t="s">
        <v>397</v>
      </c>
      <c r="D284" s="21">
        <v>8</v>
      </c>
      <c r="E284" s="4"/>
      <c r="F284" s="4"/>
      <c r="G284" s="4"/>
      <c r="H284" s="232"/>
    </row>
    <row r="285" spans="1:8" s="1" customFormat="1" x14ac:dyDescent="0.2">
      <c r="A285" s="160"/>
      <c r="B285" s="4"/>
      <c r="C285" s="21" t="s">
        <v>398</v>
      </c>
      <c r="D285" s="21">
        <v>31</v>
      </c>
      <c r="E285" s="4"/>
      <c r="F285" s="4"/>
      <c r="G285" s="4"/>
      <c r="H285" s="232"/>
    </row>
    <row r="286" spans="1:8" s="1" customFormat="1" x14ac:dyDescent="0.2">
      <c r="A286" s="160"/>
      <c r="B286" s="4"/>
      <c r="C286" s="21" t="s">
        <v>400</v>
      </c>
      <c r="D286" s="21">
        <v>10</v>
      </c>
      <c r="E286" s="4"/>
      <c r="F286" s="4"/>
      <c r="G286" s="4"/>
      <c r="H286" s="232"/>
    </row>
    <row r="287" spans="1:8" s="1" customFormat="1" x14ac:dyDescent="0.2">
      <c r="A287" s="160"/>
      <c r="B287" s="4"/>
      <c r="C287" s="4"/>
      <c r="D287" s="4"/>
      <c r="E287" s="4"/>
      <c r="F287" s="4"/>
      <c r="G287" s="4"/>
      <c r="H287" s="232"/>
    </row>
    <row r="288" spans="1:8" s="1" customFormat="1" x14ac:dyDescent="0.2">
      <c r="A288" s="62" t="s">
        <v>741</v>
      </c>
      <c r="B288" s="4"/>
      <c r="C288" s="4"/>
      <c r="D288" s="4"/>
      <c r="E288" s="4"/>
      <c r="F288" s="4"/>
      <c r="G288" s="4"/>
      <c r="H288" s="232"/>
    </row>
    <row r="289" spans="1:8" s="1" customFormat="1" x14ac:dyDescent="0.2">
      <c r="A289" s="62" t="s">
        <v>1687</v>
      </c>
      <c r="B289" s="4"/>
      <c r="C289" s="4"/>
      <c r="D289" s="4"/>
      <c r="E289" s="4"/>
      <c r="F289" s="4"/>
      <c r="G289" s="4"/>
      <c r="H289" s="232"/>
    </row>
    <row r="290" spans="1:8" s="1" customFormat="1" x14ac:dyDescent="0.2">
      <c r="A290" s="62" t="s">
        <v>1664</v>
      </c>
      <c r="B290" s="4"/>
      <c r="C290" s="4"/>
      <c r="D290" s="4"/>
      <c r="E290" s="4"/>
      <c r="F290" s="4"/>
      <c r="G290" s="4"/>
      <c r="H290" s="232"/>
    </row>
    <row r="291" spans="1:8" s="1" customFormat="1" x14ac:dyDescent="0.2">
      <c r="A291" s="62" t="s">
        <v>1662</v>
      </c>
      <c r="B291" s="4"/>
      <c r="C291" s="4"/>
      <c r="D291" s="4"/>
      <c r="E291" s="4"/>
      <c r="F291" s="4"/>
      <c r="G291" s="4"/>
      <c r="H291" s="232"/>
    </row>
    <row r="292" spans="1:8" s="1" customFormat="1" x14ac:dyDescent="0.2">
      <c r="A292" s="62" t="s">
        <v>1663</v>
      </c>
      <c r="B292" s="4"/>
      <c r="C292" s="4"/>
      <c r="D292" s="4"/>
      <c r="E292" s="4"/>
      <c r="F292" s="4"/>
      <c r="G292" s="4"/>
      <c r="H292" s="232"/>
    </row>
    <row r="293" spans="1:8" s="1" customFormat="1" x14ac:dyDescent="0.2">
      <c r="A293" s="160"/>
      <c r="B293" s="4"/>
      <c r="C293" s="4"/>
      <c r="D293" s="4"/>
      <c r="E293" s="4"/>
      <c r="F293" s="4"/>
      <c r="G293" s="4"/>
      <c r="H293" s="232"/>
    </row>
    <row r="294" spans="1:8" s="1" customFormat="1" x14ac:dyDescent="0.2">
      <c r="A294" s="160" t="s">
        <v>78</v>
      </c>
      <c r="B294" s="4"/>
      <c r="C294" s="4"/>
      <c r="D294" s="4"/>
      <c r="E294" s="4"/>
      <c r="F294" s="4"/>
      <c r="G294" s="4"/>
      <c r="H294" s="232"/>
    </row>
    <row r="295" spans="1:8" s="1" customFormat="1" ht="17" thickBot="1" x14ac:dyDescent="0.25">
      <c r="A295" s="160"/>
      <c r="B295" s="4"/>
      <c r="C295" s="4"/>
      <c r="D295" s="4"/>
      <c r="E295" s="4"/>
      <c r="F295" s="4"/>
      <c r="G295" s="4"/>
      <c r="H295" s="232"/>
    </row>
    <row r="296" spans="1:8" s="1" customFormat="1" x14ac:dyDescent="0.2">
      <c r="A296" s="69" t="s">
        <v>1687</v>
      </c>
      <c r="B296" s="113"/>
      <c r="C296" s="113"/>
      <c r="D296" s="113"/>
      <c r="E296" s="113"/>
      <c r="F296" s="113"/>
      <c r="G296" s="113"/>
      <c r="H296" s="236"/>
    </row>
    <row r="297" spans="1:8" s="1" customFormat="1" ht="17" thickBot="1" x14ac:dyDescent="0.25">
      <c r="A297" s="65" t="s">
        <v>1664</v>
      </c>
      <c r="B297" s="115"/>
      <c r="C297" s="115"/>
      <c r="D297" s="115"/>
      <c r="E297" s="115"/>
      <c r="F297" s="115"/>
      <c r="G297" s="115"/>
      <c r="H297" s="238"/>
    </row>
    <row r="298" spans="1:8" s="1" customFormat="1" x14ac:dyDescent="0.2">
      <c r="A298" s="160"/>
      <c r="B298" s="4"/>
      <c r="C298" s="4"/>
      <c r="D298" s="4"/>
      <c r="E298" s="4"/>
      <c r="F298" s="4"/>
      <c r="G298" s="4"/>
      <c r="H298" s="232"/>
    </row>
    <row r="299" spans="1:8" s="1" customFormat="1" x14ac:dyDescent="0.2">
      <c r="A299" s="62" t="s">
        <v>1779</v>
      </c>
      <c r="B299" s="4"/>
      <c r="C299" s="4"/>
      <c r="D299" s="4"/>
      <c r="E299" s="4"/>
      <c r="F299" s="4"/>
      <c r="G299" s="4"/>
      <c r="H299" s="232"/>
    </row>
    <row r="300" spans="1:8" s="1" customFormat="1" x14ac:dyDescent="0.2">
      <c r="A300" s="62" t="s">
        <v>1780</v>
      </c>
      <c r="B300" s="4"/>
      <c r="C300" s="4"/>
      <c r="D300" s="4"/>
      <c r="E300" s="4"/>
      <c r="F300" s="4"/>
      <c r="G300" s="4"/>
      <c r="H300" s="232"/>
    </row>
    <row r="301" spans="1:8" s="1" customFormat="1" x14ac:dyDescent="0.2">
      <c r="A301" s="62" t="s">
        <v>1781</v>
      </c>
      <c r="B301" s="4"/>
      <c r="C301" s="4"/>
      <c r="D301" s="4"/>
      <c r="E301" s="4"/>
      <c r="F301" s="4"/>
      <c r="G301" s="4"/>
      <c r="H301" s="232"/>
    </row>
    <row r="302" spans="1:8" s="1" customFormat="1" x14ac:dyDescent="0.2">
      <c r="A302" s="62"/>
      <c r="B302" s="4"/>
      <c r="C302" s="4"/>
      <c r="D302" s="4"/>
      <c r="E302" s="4"/>
      <c r="F302" s="4"/>
      <c r="G302" s="4"/>
      <c r="H302" s="232"/>
    </row>
    <row r="303" spans="1:8" s="1" customFormat="1" x14ac:dyDescent="0.2">
      <c r="A303" s="62" t="s">
        <v>1782</v>
      </c>
      <c r="B303" s="4"/>
      <c r="C303" s="4"/>
      <c r="D303" s="4"/>
      <c r="E303" s="4"/>
      <c r="F303" s="4"/>
      <c r="G303" s="4"/>
      <c r="H303" s="232"/>
    </row>
    <row r="304" spans="1:8" s="1" customFormat="1" x14ac:dyDescent="0.2">
      <c r="A304" s="62" t="s">
        <v>1783</v>
      </c>
      <c r="B304" s="4"/>
      <c r="C304" s="4"/>
      <c r="D304" s="4"/>
      <c r="E304" s="4"/>
      <c r="F304" s="4"/>
      <c r="G304" s="4"/>
      <c r="H304" s="232"/>
    </row>
    <row r="305" spans="1:8" s="1" customFormat="1" x14ac:dyDescent="0.2">
      <c r="A305" s="62"/>
      <c r="B305" s="4"/>
      <c r="C305" s="4"/>
      <c r="D305" s="4"/>
      <c r="E305" s="4"/>
      <c r="F305" s="4"/>
      <c r="G305" s="4"/>
      <c r="H305" s="232"/>
    </row>
    <row r="306" spans="1:8" s="1" customFormat="1" x14ac:dyDescent="0.2">
      <c r="A306" s="62" t="s">
        <v>1784</v>
      </c>
      <c r="B306" s="4"/>
      <c r="C306" s="4"/>
      <c r="D306" s="4"/>
      <c r="E306" s="4"/>
      <c r="F306" s="4"/>
      <c r="G306" s="4"/>
      <c r="H306" s="232"/>
    </row>
    <row r="307" spans="1:8" s="1" customFormat="1" x14ac:dyDescent="0.2">
      <c r="A307" s="62" t="s">
        <v>1785</v>
      </c>
      <c r="B307" s="4"/>
      <c r="C307" s="4"/>
      <c r="D307" s="4"/>
      <c r="E307" s="4"/>
      <c r="F307" s="4"/>
      <c r="G307" s="4"/>
      <c r="H307" s="232"/>
    </row>
    <row r="308" spans="1:8" s="1" customFormat="1" x14ac:dyDescent="0.2">
      <c r="A308" s="62" t="s">
        <v>1786</v>
      </c>
      <c r="B308" s="4"/>
      <c r="C308" s="4"/>
      <c r="D308" s="4"/>
      <c r="E308" s="4"/>
      <c r="F308" s="4"/>
      <c r="G308" s="4"/>
      <c r="H308" s="232"/>
    </row>
    <row r="309" spans="1:8" s="1" customFormat="1" ht="17" thickBot="1" x14ac:dyDescent="0.25">
      <c r="A309" s="160"/>
      <c r="B309" s="4"/>
      <c r="C309" s="4"/>
      <c r="D309" s="4"/>
      <c r="E309" s="4"/>
      <c r="F309" s="4"/>
      <c r="G309" s="4"/>
      <c r="H309" s="232"/>
    </row>
    <row r="310" spans="1:8" s="1" customFormat="1" ht="17" thickBot="1" x14ac:dyDescent="0.25">
      <c r="A310" s="247" t="s">
        <v>1662</v>
      </c>
      <c r="B310" s="8"/>
      <c r="C310" s="8"/>
      <c r="D310" s="8"/>
      <c r="E310" s="8"/>
      <c r="F310" s="8"/>
      <c r="G310" s="8"/>
      <c r="H310" s="235"/>
    </row>
    <row r="311" spans="1:8" s="1" customFormat="1" x14ac:dyDescent="0.2">
      <c r="A311" s="62"/>
      <c r="B311" s="4"/>
      <c r="C311" s="4"/>
      <c r="D311" s="4"/>
      <c r="E311" s="4"/>
      <c r="F311" s="4"/>
      <c r="G311" s="4"/>
      <c r="H311" s="232"/>
    </row>
    <row r="312" spans="1:8" s="1" customFormat="1" x14ac:dyDescent="0.2">
      <c r="A312" s="156"/>
      <c r="B312" s="21" t="s">
        <v>262</v>
      </c>
      <c r="C312" s="21" t="s">
        <v>262</v>
      </c>
      <c r="D312" s="21" t="s">
        <v>262</v>
      </c>
      <c r="E312" s="4"/>
      <c r="F312" s="4"/>
      <c r="G312" s="4"/>
      <c r="H312" s="232"/>
    </row>
    <row r="313" spans="1:8" s="1" customFormat="1" x14ac:dyDescent="0.2">
      <c r="A313" s="156" t="s">
        <v>71</v>
      </c>
      <c r="B313" s="21" t="s">
        <v>1787</v>
      </c>
      <c r="C313" s="21" t="s">
        <v>1788</v>
      </c>
      <c r="D313" s="21" t="s">
        <v>1250</v>
      </c>
      <c r="E313" s="4"/>
      <c r="F313" s="4"/>
      <c r="G313" s="4"/>
      <c r="H313" s="232"/>
    </row>
    <row r="314" spans="1:8" s="1" customFormat="1" x14ac:dyDescent="0.2">
      <c r="A314" s="156">
        <v>0</v>
      </c>
      <c r="B314" s="21">
        <f>IF(A314&gt;60,A314-60-8,-8)</f>
        <v>-8</v>
      </c>
      <c r="C314" s="21">
        <f>IF(A314&lt;40,40-A314-10,-10)</f>
        <v>30</v>
      </c>
      <c r="D314" s="21">
        <f>B314+C314</f>
        <v>22</v>
      </c>
      <c r="E314" s="4"/>
      <c r="F314" s="4"/>
      <c r="G314" s="4"/>
      <c r="H314" s="232"/>
    </row>
    <row r="315" spans="1:8" s="1" customFormat="1" x14ac:dyDescent="0.2">
      <c r="A315" s="156">
        <f>A314+10</f>
        <v>10</v>
      </c>
      <c r="B315" s="21">
        <f t="shared" ref="B315:B325" si="6">IF(A315&gt;60,A315-60-8,-8)</f>
        <v>-8</v>
      </c>
      <c r="C315" s="21">
        <f t="shared" ref="C315:C325" si="7">IF(A315&lt;40,40-A315-10,-10)</f>
        <v>20</v>
      </c>
      <c r="D315" s="21">
        <f t="shared" ref="D315:D325" si="8">B315+C315</f>
        <v>12</v>
      </c>
      <c r="E315" s="4"/>
      <c r="F315" s="4"/>
      <c r="G315" s="4"/>
      <c r="H315" s="232"/>
    </row>
    <row r="316" spans="1:8" s="1" customFormat="1" x14ac:dyDescent="0.2">
      <c r="A316" s="156">
        <f t="shared" ref="A316:A325" si="9">A315+10</f>
        <v>20</v>
      </c>
      <c r="B316" s="21">
        <f t="shared" si="6"/>
        <v>-8</v>
      </c>
      <c r="C316" s="21">
        <f t="shared" si="7"/>
        <v>10</v>
      </c>
      <c r="D316" s="21">
        <f t="shared" si="8"/>
        <v>2</v>
      </c>
      <c r="E316" s="4"/>
      <c r="F316" s="4"/>
      <c r="G316" s="4"/>
      <c r="H316" s="232"/>
    </row>
    <row r="317" spans="1:8" s="1" customFormat="1" x14ac:dyDescent="0.2">
      <c r="A317" s="156">
        <f t="shared" si="9"/>
        <v>30</v>
      </c>
      <c r="B317" s="21">
        <f t="shared" si="6"/>
        <v>-8</v>
      </c>
      <c r="C317" s="21">
        <f t="shared" si="7"/>
        <v>0</v>
      </c>
      <c r="D317" s="21">
        <f t="shared" si="8"/>
        <v>-8</v>
      </c>
      <c r="E317" s="4"/>
      <c r="F317" s="4"/>
      <c r="G317" s="4"/>
      <c r="H317" s="232"/>
    </row>
    <row r="318" spans="1:8" s="1" customFormat="1" x14ac:dyDescent="0.2">
      <c r="A318" s="156">
        <f t="shared" si="9"/>
        <v>40</v>
      </c>
      <c r="B318" s="21">
        <f t="shared" si="6"/>
        <v>-8</v>
      </c>
      <c r="C318" s="21">
        <f t="shared" si="7"/>
        <v>-10</v>
      </c>
      <c r="D318" s="21">
        <f t="shared" si="8"/>
        <v>-18</v>
      </c>
      <c r="E318" s="4"/>
      <c r="F318" s="4"/>
      <c r="G318" s="4"/>
      <c r="H318" s="232"/>
    </row>
    <row r="319" spans="1:8" s="1" customFormat="1" x14ac:dyDescent="0.2">
      <c r="A319" s="156">
        <f t="shared" si="9"/>
        <v>50</v>
      </c>
      <c r="B319" s="21">
        <f t="shared" si="6"/>
        <v>-8</v>
      </c>
      <c r="C319" s="21">
        <f t="shared" si="7"/>
        <v>-10</v>
      </c>
      <c r="D319" s="21">
        <f t="shared" si="8"/>
        <v>-18</v>
      </c>
      <c r="E319" s="4"/>
      <c r="F319" s="4"/>
      <c r="G319" s="4"/>
      <c r="H319" s="232"/>
    </row>
    <row r="320" spans="1:8" s="1" customFormat="1" x14ac:dyDescent="0.2">
      <c r="A320" s="156">
        <f t="shared" si="9"/>
        <v>60</v>
      </c>
      <c r="B320" s="21">
        <f t="shared" si="6"/>
        <v>-8</v>
      </c>
      <c r="C320" s="21">
        <f t="shared" si="7"/>
        <v>-10</v>
      </c>
      <c r="D320" s="21">
        <f t="shared" si="8"/>
        <v>-18</v>
      </c>
      <c r="E320" s="4"/>
      <c r="F320" s="4"/>
      <c r="G320" s="4"/>
      <c r="H320" s="232"/>
    </row>
    <row r="321" spans="1:8" s="1" customFormat="1" x14ac:dyDescent="0.2">
      <c r="A321" s="156">
        <f t="shared" si="9"/>
        <v>70</v>
      </c>
      <c r="B321" s="21">
        <f t="shared" si="6"/>
        <v>2</v>
      </c>
      <c r="C321" s="21">
        <f t="shared" si="7"/>
        <v>-10</v>
      </c>
      <c r="D321" s="21">
        <f t="shared" si="8"/>
        <v>-8</v>
      </c>
      <c r="E321" s="4"/>
      <c r="F321" s="4"/>
      <c r="G321" s="4"/>
      <c r="H321" s="232"/>
    </row>
    <row r="322" spans="1:8" s="1" customFormat="1" x14ac:dyDescent="0.2">
      <c r="A322" s="156">
        <f t="shared" si="9"/>
        <v>80</v>
      </c>
      <c r="B322" s="21">
        <f t="shared" si="6"/>
        <v>12</v>
      </c>
      <c r="C322" s="21">
        <f t="shared" si="7"/>
        <v>-10</v>
      </c>
      <c r="D322" s="21">
        <f t="shared" si="8"/>
        <v>2</v>
      </c>
      <c r="E322" s="4"/>
      <c r="F322" s="4"/>
      <c r="G322" s="4"/>
      <c r="H322" s="232"/>
    </row>
    <row r="323" spans="1:8" s="1" customFormat="1" x14ac:dyDescent="0.2">
      <c r="A323" s="156">
        <f t="shared" si="9"/>
        <v>90</v>
      </c>
      <c r="B323" s="21">
        <f t="shared" si="6"/>
        <v>22</v>
      </c>
      <c r="C323" s="21">
        <f t="shared" si="7"/>
        <v>-10</v>
      </c>
      <c r="D323" s="21">
        <f t="shared" si="8"/>
        <v>12</v>
      </c>
      <c r="E323" s="4"/>
      <c r="F323" s="4"/>
      <c r="G323" s="4"/>
      <c r="H323" s="232"/>
    </row>
    <row r="324" spans="1:8" s="1" customFormat="1" x14ac:dyDescent="0.2">
      <c r="A324" s="156">
        <f t="shared" si="9"/>
        <v>100</v>
      </c>
      <c r="B324" s="21">
        <f t="shared" si="6"/>
        <v>32</v>
      </c>
      <c r="C324" s="21">
        <f t="shared" si="7"/>
        <v>-10</v>
      </c>
      <c r="D324" s="21">
        <f t="shared" si="8"/>
        <v>22</v>
      </c>
      <c r="E324" s="4"/>
      <c r="F324" s="4"/>
      <c r="G324" s="4"/>
      <c r="H324" s="232"/>
    </row>
    <row r="325" spans="1:8" s="1" customFormat="1" x14ac:dyDescent="0.2">
      <c r="A325" s="156">
        <f t="shared" si="9"/>
        <v>110</v>
      </c>
      <c r="B325" s="21">
        <f t="shared" si="6"/>
        <v>42</v>
      </c>
      <c r="C325" s="21">
        <f t="shared" si="7"/>
        <v>-10</v>
      </c>
      <c r="D325" s="21">
        <f t="shared" si="8"/>
        <v>32</v>
      </c>
      <c r="E325" s="4"/>
      <c r="F325" s="4"/>
      <c r="G325" s="4"/>
      <c r="H325" s="232"/>
    </row>
    <row r="326" spans="1:8" s="1" customFormat="1" ht="17" thickBot="1" x14ac:dyDescent="0.25">
      <c r="A326" s="160"/>
      <c r="B326" s="4"/>
      <c r="C326" s="4"/>
      <c r="D326" s="4"/>
      <c r="E326" s="4"/>
      <c r="F326" s="4"/>
      <c r="G326" s="4"/>
      <c r="H326" s="232"/>
    </row>
    <row r="327" spans="1:8" s="1" customFormat="1" ht="17" thickBot="1" x14ac:dyDescent="0.25">
      <c r="A327" s="247" t="s">
        <v>1663</v>
      </c>
      <c r="B327" s="8"/>
      <c r="C327" s="8"/>
      <c r="D327" s="8"/>
      <c r="E327" s="8"/>
      <c r="F327" s="8"/>
      <c r="G327" s="8"/>
      <c r="H327" s="235"/>
    </row>
    <row r="328" spans="1:8" s="1" customFormat="1" x14ac:dyDescent="0.2">
      <c r="A328" s="160"/>
      <c r="B328" s="4"/>
      <c r="C328" s="4"/>
      <c r="D328" s="4"/>
      <c r="E328" s="4"/>
      <c r="F328" s="4"/>
      <c r="G328" s="4"/>
      <c r="H328" s="232"/>
    </row>
    <row r="329" spans="1:8" s="1" customFormat="1" x14ac:dyDescent="0.2">
      <c r="A329" s="160"/>
      <c r="B329" s="4"/>
      <c r="C329" s="4"/>
      <c r="D329" s="4"/>
      <c r="E329" s="4"/>
      <c r="F329" s="4"/>
      <c r="G329" s="4"/>
      <c r="H329" s="232"/>
    </row>
    <row r="330" spans="1:8" s="1" customFormat="1" x14ac:dyDescent="0.2">
      <c r="A330" s="62" t="s">
        <v>1789</v>
      </c>
      <c r="B330" s="1" t="s">
        <v>1790</v>
      </c>
      <c r="C330" s="4"/>
      <c r="D330" s="4"/>
      <c r="E330" s="4"/>
      <c r="F330" s="4" t="s">
        <v>262</v>
      </c>
      <c r="G330" s="4"/>
      <c r="H330" s="232"/>
    </row>
    <row r="331" spans="1:8" s="1" customFormat="1" x14ac:dyDescent="0.2">
      <c r="A331" s="62" t="s">
        <v>1791</v>
      </c>
      <c r="B331" s="1" t="s">
        <v>1792</v>
      </c>
      <c r="C331" s="4"/>
      <c r="D331" s="4"/>
      <c r="E331" s="4"/>
      <c r="F331" s="4"/>
      <c r="G331" s="4"/>
      <c r="H331" s="232"/>
    </row>
    <row r="332" spans="1:8" s="1" customFormat="1" x14ac:dyDescent="0.2">
      <c r="A332" s="62" t="s">
        <v>800</v>
      </c>
      <c r="B332" s="1" t="s">
        <v>1793</v>
      </c>
      <c r="C332" s="4"/>
      <c r="D332" s="4"/>
      <c r="E332" s="4"/>
      <c r="F332" s="4"/>
      <c r="G332" s="4"/>
      <c r="H332" s="232"/>
    </row>
    <row r="333" spans="1:8" s="1" customFormat="1" x14ac:dyDescent="0.2">
      <c r="A333" s="160"/>
      <c r="B333" s="4"/>
      <c r="C333" s="4"/>
      <c r="D333" s="4"/>
      <c r="E333" s="4"/>
      <c r="F333" s="4"/>
      <c r="G333" s="4"/>
      <c r="H333" s="232"/>
    </row>
    <row r="334" spans="1:8" s="1" customFormat="1" x14ac:dyDescent="0.2">
      <c r="A334" s="160"/>
      <c r="B334" s="4"/>
      <c r="C334" s="4"/>
      <c r="D334" s="4"/>
      <c r="E334" s="4"/>
      <c r="F334" s="4"/>
      <c r="G334" s="4"/>
      <c r="H334" s="232"/>
    </row>
    <row r="335" spans="1:8" s="1" customFormat="1" x14ac:dyDescent="0.2">
      <c r="A335" s="160"/>
      <c r="B335" s="4"/>
      <c r="C335" s="4"/>
      <c r="D335" s="4"/>
      <c r="E335" s="4"/>
      <c r="F335" s="4"/>
      <c r="G335" s="4"/>
      <c r="H335" s="232"/>
    </row>
    <row r="336" spans="1:8" s="1" customFormat="1" x14ac:dyDescent="0.2">
      <c r="A336" s="160"/>
      <c r="B336" s="4"/>
      <c r="C336" s="4"/>
      <c r="D336" s="4"/>
      <c r="E336" s="4"/>
      <c r="F336" s="4"/>
      <c r="G336" s="4"/>
      <c r="H336" s="232"/>
    </row>
    <row r="337" spans="1:8" s="1" customFormat="1" x14ac:dyDescent="0.2">
      <c r="A337" s="160"/>
      <c r="B337" s="4"/>
      <c r="C337" s="4"/>
      <c r="D337" s="4"/>
      <c r="E337" s="4"/>
      <c r="F337" s="4"/>
      <c r="G337" s="4"/>
      <c r="H337" s="232"/>
    </row>
    <row r="338" spans="1:8" s="1" customFormat="1" x14ac:dyDescent="0.2">
      <c r="A338" s="160"/>
      <c r="B338" s="4"/>
      <c r="C338" s="4"/>
      <c r="D338" s="4"/>
      <c r="E338" s="4"/>
      <c r="F338" s="4"/>
      <c r="G338" s="4"/>
      <c r="H338" s="232"/>
    </row>
    <row r="339" spans="1:8" s="1" customFormat="1" x14ac:dyDescent="0.2">
      <c r="A339" s="160"/>
      <c r="B339" s="127" t="s">
        <v>71</v>
      </c>
      <c r="C339" s="4"/>
      <c r="D339" s="4"/>
      <c r="E339" s="4"/>
      <c r="F339" s="4"/>
      <c r="G339" s="4"/>
      <c r="H339" s="232"/>
    </row>
    <row r="340" spans="1:8" s="1" customFormat="1" x14ac:dyDescent="0.2">
      <c r="A340" s="160"/>
      <c r="B340" s="4"/>
      <c r="C340" s="4"/>
      <c r="D340" s="4"/>
      <c r="E340" s="4"/>
      <c r="F340" s="4"/>
      <c r="G340" s="4"/>
      <c r="H340" s="232"/>
    </row>
    <row r="341" spans="1:8" s="1" customFormat="1" x14ac:dyDescent="0.2">
      <c r="A341" s="160"/>
      <c r="B341" s="4"/>
      <c r="C341" s="4"/>
      <c r="D341" s="4"/>
      <c r="E341" s="4"/>
      <c r="F341" s="4"/>
      <c r="G341" s="4"/>
      <c r="H341" s="232"/>
    </row>
    <row r="342" spans="1:8" s="1" customFormat="1" x14ac:dyDescent="0.2">
      <c r="A342" s="160"/>
      <c r="B342" s="4"/>
      <c r="C342" s="4"/>
      <c r="D342" s="4"/>
      <c r="E342" s="4"/>
      <c r="F342" s="4"/>
      <c r="G342" s="4"/>
      <c r="H342" s="232"/>
    </row>
    <row r="343" spans="1:8" s="1" customFormat="1" x14ac:dyDescent="0.2">
      <c r="A343" s="160"/>
      <c r="B343" s="4"/>
      <c r="C343" s="4"/>
      <c r="D343" s="4"/>
      <c r="E343" s="4"/>
      <c r="F343" s="4"/>
      <c r="G343" s="4"/>
      <c r="H343" s="232"/>
    </row>
    <row r="344" spans="1:8" s="1" customFormat="1" x14ac:dyDescent="0.2">
      <c r="A344" s="160"/>
      <c r="B344" s="4"/>
      <c r="C344" s="4"/>
      <c r="D344" s="4"/>
      <c r="E344" s="4"/>
      <c r="F344" s="4"/>
      <c r="G344" s="4"/>
      <c r="H344" s="232"/>
    </row>
    <row r="345" spans="1:8" s="1" customFormat="1" x14ac:dyDescent="0.2">
      <c r="A345" s="160"/>
      <c r="B345" s="4"/>
      <c r="C345" s="4"/>
      <c r="D345" s="4"/>
      <c r="E345" s="4"/>
      <c r="F345" s="4"/>
      <c r="G345" s="4"/>
      <c r="H345" s="232"/>
    </row>
    <row r="346" spans="1:8" s="1" customFormat="1" x14ac:dyDescent="0.2">
      <c r="A346" s="160"/>
      <c r="B346" s="4"/>
      <c r="C346" s="4"/>
      <c r="D346" s="4"/>
      <c r="E346" s="4"/>
      <c r="F346" s="4"/>
      <c r="G346" s="4"/>
      <c r="H346" s="232"/>
    </row>
    <row r="347" spans="1:8" s="1" customFormat="1" x14ac:dyDescent="0.2">
      <c r="A347" s="160"/>
      <c r="B347" s="4"/>
      <c r="C347" s="4"/>
      <c r="D347" s="4"/>
      <c r="E347" s="4"/>
      <c r="F347" s="4"/>
      <c r="G347" s="4"/>
      <c r="H347" s="232"/>
    </row>
    <row r="348" spans="1:8" s="1" customFormat="1" x14ac:dyDescent="0.2">
      <c r="A348" s="160"/>
      <c r="B348" s="4"/>
      <c r="C348" s="4"/>
      <c r="D348" s="4"/>
      <c r="E348" s="4"/>
      <c r="F348" s="4"/>
      <c r="G348" s="4"/>
      <c r="H348" s="232"/>
    </row>
    <row r="349" spans="1:8" s="1" customFormat="1" x14ac:dyDescent="0.2">
      <c r="A349" s="117" t="s">
        <v>1665</v>
      </c>
      <c r="B349" s="117"/>
      <c r="C349" s="117" t="s">
        <v>1686</v>
      </c>
      <c r="D349" s="117"/>
      <c r="E349" s="117"/>
      <c r="F349" s="117"/>
      <c r="G349" s="117"/>
      <c r="H349" s="117"/>
    </row>
    <row r="350" spans="1:8" s="1" customFormat="1" x14ac:dyDescent="0.2">
      <c r="A350" s="62" t="s">
        <v>1666</v>
      </c>
      <c r="B350" s="4"/>
      <c r="C350" s="4"/>
      <c r="D350" s="4"/>
      <c r="E350" s="4"/>
      <c r="F350" s="4"/>
      <c r="G350" s="4"/>
      <c r="H350" s="232"/>
    </row>
    <row r="351" spans="1:8" s="1" customFormat="1" x14ac:dyDescent="0.2">
      <c r="A351" s="62" t="s">
        <v>1667</v>
      </c>
      <c r="B351" s="4"/>
      <c r="C351" s="4"/>
      <c r="D351" s="4"/>
      <c r="E351" s="4"/>
      <c r="F351" s="4"/>
      <c r="G351" s="4"/>
      <c r="H351" s="232"/>
    </row>
    <row r="352" spans="1:8" s="1" customFormat="1" x14ac:dyDescent="0.2">
      <c r="A352" s="62" t="s">
        <v>1668</v>
      </c>
      <c r="B352" s="4"/>
      <c r="C352" s="4"/>
      <c r="D352" s="4"/>
      <c r="E352" s="4"/>
      <c r="F352" s="4"/>
      <c r="G352" s="4"/>
      <c r="H352" s="232"/>
    </row>
    <row r="353" spans="1:8" s="1" customFormat="1" x14ac:dyDescent="0.2">
      <c r="A353" s="62" t="s">
        <v>1669</v>
      </c>
      <c r="B353" s="4"/>
      <c r="C353" s="4"/>
      <c r="D353" s="4"/>
      <c r="E353" s="4"/>
      <c r="F353" s="4"/>
      <c r="G353" s="4"/>
      <c r="H353" s="232"/>
    </row>
    <row r="354" spans="1:8" s="1" customFormat="1" x14ac:dyDescent="0.2">
      <c r="A354" s="62" t="s">
        <v>1670</v>
      </c>
      <c r="B354" s="4"/>
      <c r="C354" s="4"/>
      <c r="D354" s="4"/>
      <c r="E354" s="4"/>
      <c r="F354" s="4"/>
      <c r="G354" s="4"/>
      <c r="H354" s="232"/>
    </row>
    <row r="355" spans="1:8" s="1" customFormat="1" x14ac:dyDescent="0.2">
      <c r="A355" s="62" t="s">
        <v>1671</v>
      </c>
      <c r="B355" s="4"/>
      <c r="C355" s="4"/>
      <c r="D355" s="4"/>
      <c r="E355" s="4"/>
      <c r="F355" s="4"/>
      <c r="G355" s="4"/>
      <c r="H355" s="232"/>
    </row>
    <row r="356" spans="1:8" s="1" customFormat="1" x14ac:dyDescent="0.2">
      <c r="A356" s="62" t="s">
        <v>1672</v>
      </c>
      <c r="B356" s="4"/>
      <c r="C356" s="4"/>
      <c r="D356" s="4"/>
      <c r="E356" s="4"/>
      <c r="F356" s="4"/>
      <c r="G356" s="4"/>
      <c r="H356" s="232"/>
    </row>
    <row r="357" spans="1:8" s="1" customFormat="1" x14ac:dyDescent="0.2">
      <c r="A357" s="62" t="s">
        <v>1673</v>
      </c>
      <c r="B357" s="4"/>
      <c r="C357" s="4"/>
      <c r="D357" s="4"/>
      <c r="E357" s="4"/>
      <c r="F357" s="4"/>
      <c r="G357" s="4"/>
      <c r="H357" s="232"/>
    </row>
    <row r="358" spans="1:8" s="1" customFormat="1" x14ac:dyDescent="0.2">
      <c r="A358" s="160"/>
      <c r="B358" s="4"/>
      <c r="C358" s="4"/>
      <c r="D358" s="4"/>
      <c r="E358" s="4"/>
      <c r="F358" s="21"/>
      <c r="G358" s="21"/>
      <c r="H358" s="232"/>
    </row>
    <row r="359" spans="1:8" s="1" customFormat="1" x14ac:dyDescent="0.2">
      <c r="A359" s="160" t="s">
        <v>78</v>
      </c>
      <c r="B359" s="4"/>
      <c r="C359" s="4"/>
      <c r="D359" s="4"/>
      <c r="E359" s="4"/>
      <c r="F359" s="4"/>
      <c r="G359" s="4"/>
      <c r="H359" s="232"/>
    </row>
    <row r="360" spans="1:8" s="1" customFormat="1" ht="17" thickBot="1" x14ac:dyDescent="0.25">
      <c r="A360" s="160"/>
      <c r="B360" s="4"/>
      <c r="C360" s="4"/>
      <c r="D360" s="4"/>
      <c r="E360" s="4"/>
      <c r="F360" s="21"/>
      <c r="G360" s="221"/>
      <c r="H360" s="232"/>
    </row>
    <row r="361" spans="1:8" s="1" customFormat="1" x14ac:dyDescent="0.2">
      <c r="A361" s="69" t="s">
        <v>1668</v>
      </c>
      <c r="B361" s="113"/>
      <c r="C361" s="113"/>
      <c r="D361" s="113"/>
      <c r="E361" s="113"/>
      <c r="F361" s="252"/>
      <c r="G361" s="252"/>
      <c r="H361" s="236"/>
    </row>
    <row r="362" spans="1:8" s="1" customFormat="1" ht="17" thickBot="1" x14ac:dyDescent="0.25">
      <c r="A362" s="65" t="s">
        <v>1669</v>
      </c>
      <c r="B362" s="115"/>
      <c r="C362" s="115"/>
      <c r="D362" s="115"/>
      <c r="E362" s="115"/>
      <c r="F362" s="253"/>
      <c r="G362" s="134"/>
      <c r="H362" s="238"/>
    </row>
    <row r="363" spans="1:8" s="1" customFormat="1" x14ac:dyDescent="0.2">
      <c r="A363" s="62"/>
      <c r="B363" s="4"/>
      <c r="C363" s="4"/>
      <c r="D363" s="4"/>
      <c r="E363" s="4"/>
      <c r="F363" s="21"/>
      <c r="G363" s="31"/>
      <c r="H363" s="232"/>
    </row>
    <row r="364" spans="1:8" s="1" customFormat="1" x14ac:dyDescent="0.2">
      <c r="A364" s="62" t="s">
        <v>1794</v>
      </c>
      <c r="B364" s="4"/>
      <c r="C364" s="4"/>
      <c r="D364" s="4"/>
      <c r="E364" s="4"/>
      <c r="F364" s="4"/>
      <c r="G364" s="4"/>
      <c r="H364" s="232"/>
    </row>
    <row r="365" spans="1:8" s="1" customFormat="1" x14ac:dyDescent="0.2">
      <c r="A365" s="62" t="s">
        <v>1795</v>
      </c>
      <c r="B365" s="4"/>
      <c r="C365" s="4"/>
      <c r="D365" s="4"/>
      <c r="E365" s="4"/>
      <c r="F365" s="4"/>
      <c r="G365" s="4"/>
      <c r="H365" s="232"/>
    </row>
    <row r="366" spans="1:8" s="1" customFormat="1" x14ac:dyDescent="0.2">
      <c r="A366" s="62" t="s">
        <v>1796</v>
      </c>
      <c r="B366" s="4"/>
      <c r="C366" s="4"/>
      <c r="D366" s="4"/>
      <c r="E366" s="4"/>
      <c r="F366" s="4"/>
      <c r="G366" s="4"/>
      <c r="H366" s="232"/>
    </row>
    <row r="367" spans="1:8" s="1" customFormat="1" x14ac:dyDescent="0.2">
      <c r="A367" s="62" t="s">
        <v>1797</v>
      </c>
      <c r="B367" s="4"/>
      <c r="C367" s="4"/>
      <c r="D367" s="4"/>
      <c r="E367" s="4"/>
      <c r="F367" s="4"/>
      <c r="G367" s="4"/>
      <c r="H367" s="232"/>
    </row>
    <row r="368" spans="1:8" x14ac:dyDescent="0.2">
      <c r="A368" s="1"/>
    </row>
    <row r="369" spans="1:8" x14ac:dyDescent="0.2">
      <c r="A369" s="62" t="s">
        <v>1798</v>
      </c>
    </row>
    <row r="370" spans="1:8" x14ac:dyDescent="0.2">
      <c r="A370" s="1"/>
      <c r="C370" s="21" t="s">
        <v>1799</v>
      </c>
      <c r="D370" s="21" t="s">
        <v>385</v>
      </c>
      <c r="E370" s="21" t="s">
        <v>1802</v>
      </c>
    </row>
    <row r="371" spans="1:8" x14ac:dyDescent="0.2">
      <c r="A371" s="1"/>
      <c r="C371" s="21" t="s">
        <v>1800</v>
      </c>
      <c r="D371" s="21" t="s">
        <v>369</v>
      </c>
      <c r="E371" s="21" t="s">
        <v>1802</v>
      </c>
    </row>
    <row r="372" spans="1:8" x14ac:dyDescent="0.2">
      <c r="A372" s="1"/>
      <c r="C372" s="21" t="s">
        <v>1801</v>
      </c>
      <c r="D372" s="21" t="s">
        <v>386</v>
      </c>
      <c r="E372" s="21" t="s">
        <v>1803</v>
      </c>
    </row>
    <row r="373" spans="1:8" x14ac:dyDescent="0.2">
      <c r="A373" s="1"/>
    </row>
    <row r="374" spans="1:8" x14ac:dyDescent="0.2">
      <c r="A374" s="1" t="s">
        <v>1804</v>
      </c>
    </row>
    <row r="375" spans="1:8" x14ac:dyDescent="0.2">
      <c r="A375" s="1" t="s">
        <v>1805</v>
      </c>
    </row>
    <row r="376" spans="1:8" x14ac:dyDescent="0.2">
      <c r="A376" s="1" t="s">
        <v>1806</v>
      </c>
    </row>
    <row r="377" spans="1:8" ht="17" thickBot="1" x14ac:dyDescent="0.25"/>
    <row r="378" spans="1:8" ht="17" thickBot="1" x14ac:dyDescent="0.25">
      <c r="A378" s="247" t="s">
        <v>1670</v>
      </c>
      <c r="B378" s="254"/>
      <c r="C378" s="254"/>
      <c r="D378" s="254"/>
      <c r="E378" s="254"/>
      <c r="F378" s="254"/>
      <c r="G378" s="254"/>
      <c r="H378" s="255"/>
    </row>
    <row r="380" spans="1:8" x14ac:dyDescent="0.2">
      <c r="A380" s="1" t="s">
        <v>1807</v>
      </c>
    </row>
    <row r="381" spans="1:8" x14ac:dyDescent="0.2">
      <c r="A381" s="1" t="s">
        <v>1808</v>
      </c>
    </row>
    <row r="382" spans="1:8" x14ac:dyDescent="0.2">
      <c r="A382" s="1" t="s">
        <v>1809</v>
      </c>
    </row>
    <row r="383" spans="1:8" x14ac:dyDescent="0.2">
      <c r="A383" s="1" t="s">
        <v>1810</v>
      </c>
    </row>
    <row r="384" spans="1:8" x14ac:dyDescent="0.2">
      <c r="A384" s="1" t="s">
        <v>1811</v>
      </c>
    </row>
    <row r="385" spans="1:5" x14ac:dyDescent="0.2">
      <c r="A385" s="1"/>
    </row>
    <row r="386" spans="1:5" x14ac:dyDescent="0.2">
      <c r="A386" s="1" t="s">
        <v>1829</v>
      </c>
    </row>
    <row r="387" spans="1:5" x14ac:dyDescent="0.2">
      <c r="A387" s="1" t="s">
        <v>1830</v>
      </c>
    </row>
    <row r="388" spans="1:5" x14ac:dyDescent="0.2">
      <c r="A388" s="1"/>
    </row>
    <row r="389" spans="1:5" x14ac:dyDescent="0.2">
      <c r="A389" s="1" t="s">
        <v>1831</v>
      </c>
    </row>
    <row r="390" spans="1:5" x14ac:dyDescent="0.2">
      <c r="A390" s="1" t="s">
        <v>1832</v>
      </c>
    </row>
    <row r="391" spans="1:5" x14ac:dyDescent="0.2">
      <c r="A391" s="1"/>
    </row>
    <row r="392" spans="1:5" x14ac:dyDescent="0.2">
      <c r="A392" s="21"/>
      <c r="B392" s="21"/>
      <c r="C392" s="21"/>
      <c r="D392" s="75" t="s">
        <v>514</v>
      </c>
    </row>
    <row r="393" spans="1:5" x14ac:dyDescent="0.2">
      <c r="A393" s="21" t="s">
        <v>1799</v>
      </c>
      <c r="B393" s="21" t="s">
        <v>385</v>
      </c>
      <c r="C393" s="21" t="s">
        <v>1802</v>
      </c>
      <c r="D393" s="21">
        <v>-11</v>
      </c>
      <c r="E393" s="48" t="s">
        <v>1833</v>
      </c>
    </row>
    <row r="394" spans="1:5" x14ac:dyDescent="0.2">
      <c r="A394" s="21" t="s">
        <v>1800</v>
      </c>
      <c r="B394" s="21" t="s">
        <v>369</v>
      </c>
      <c r="C394" s="21" t="s">
        <v>1802</v>
      </c>
      <c r="D394" s="21">
        <v>-1</v>
      </c>
      <c r="E394" s="48" t="s">
        <v>1834</v>
      </c>
    </row>
    <row r="395" spans="1:5" x14ac:dyDescent="0.2">
      <c r="A395" s="21" t="s">
        <v>1801</v>
      </c>
      <c r="B395" s="21" t="s">
        <v>386</v>
      </c>
      <c r="C395" s="21" t="s">
        <v>1803</v>
      </c>
      <c r="D395" s="21">
        <f>4*2</f>
        <v>8</v>
      </c>
      <c r="E395" s="48" t="s">
        <v>1835</v>
      </c>
    </row>
    <row r="396" spans="1:5" x14ac:dyDescent="0.2">
      <c r="A396" s="48" t="s">
        <v>1812</v>
      </c>
      <c r="B396" s="21"/>
      <c r="C396" s="21"/>
      <c r="D396" s="226">
        <f>SUM(D393:D395)</f>
        <v>-4</v>
      </c>
    </row>
    <row r="397" spans="1:5" x14ac:dyDescent="0.2">
      <c r="A397" s="48"/>
      <c r="B397" s="21"/>
      <c r="C397" s="21"/>
      <c r="D397" s="21"/>
    </row>
    <row r="398" spans="1:5" x14ac:dyDescent="0.2">
      <c r="A398" s="48" t="s">
        <v>1813</v>
      </c>
      <c r="B398" s="21"/>
      <c r="C398" s="21"/>
      <c r="D398" s="21"/>
    </row>
    <row r="399" spans="1:5" x14ac:dyDescent="0.2">
      <c r="A399" s="48" t="s">
        <v>1814</v>
      </c>
      <c r="B399" s="21"/>
      <c r="C399" s="21"/>
      <c r="D399" s="21"/>
    </row>
    <row r="400" spans="1:5" x14ac:dyDescent="0.2">
      <c r="A400" s="48"/>
      <c r="B400" s="21"/>
      <c r="C400" s="21"/>
      <c r="D400" s="21"/>
    </row>
    <row r="401" spans="1:7" x14ac:dyDescent="0.2">
      <c r="A401" s="48" t="s">
        <v>1815</v>
      </c>
      <c r="B401" s="21"/>
      <c r="C401" s="21"/>
      <c r="D401" s="21"/>
    </row>
    <row r="402" spans="1:7" x14ac:dyDescent="0.2">
      <c r="A402" s="48" t="s">
        <v>1816</v>
      </c>
      <c r="B402" s="21"/>
      <c r="C402" s="21"/>
      <c r="D402" s="21"/>
    </row>
    <row r="403" spans="1:7" x14ac:dyDescent="0.2">
      <c r="A403" s="48"/>
      <c r="B403" s="21"/>
      <c r="C403" s="21"/>
      <c r="D403" s="21"/>
    </row>
    <row r="404" spans="1:7" x14ac:dyDescent="0.2">
      <c r="A404" s="48" t="s">
        <v>1836</v>
      </c>
      <c r="B404" s="21"/>
      <c r="C404" s="21"/>
      <c r="D404" s="21"/>
    </row>
    <row r="405" spans="1:7" x14ac:dyDescent="0.2">
      <c r="A405" s="48" t="s">
        <v>1837</v>
      </c>
      <c r="B405" s="21"/>
      <c r="C405" s="21"/>
      <c r="D405" s="21"/>
    </row>
    <row r="406" spans="1:7" x14ac:dyDescent="0.2">
      <c r="A406" s="48"/>
      <c r="B406" s="21"/>
      <c r="C406" s="21"/>
      <c r="D406" s="21"/>
    </row>
    <row r="407" spans="1:7" x14ac:dyDescent="0.2">
      <c r="A407" s="48" t="s">
        <v>1838</v>
      </c>
      <c r="B407" s="21"/>
      <c r="C407" s="21"/>
      <c r="D407" s="21"/>
    </row>
    <row r="408" spans="1:7" x14ac:dyDescent="0.2">
      <c r="A408" s="48"/>
      <c r="B408" s="21"/>
      <c r="C408" s="21"/>
      <c r="D408" s="21"/>
    </row>
    <row r="409" spans="1:7" x14ac:dyDescent="0.2">
      <c r="A409" s="48" t="s">
        <v>1839</v>
      </c>
      <c r="B409" s="1"/>
      <c r="C409" s="4"/>
      <c r="D409" s="4"/>
      <c r="E409" s="4"/>
      <c r="F409" s="4" t="s">
        <v>262</v>
      </c>
      <c r="G409" s="4"/>
    </row>
    <row r="410" spans="1:7" x14ac:dyDescent="0.2">
      <c r="B410" s="1"/>
      <c r="C410" s="4"/>
      <c r="D410" s="4"/>
      <c r="E410" s="4"/>
      <c r="F410" s="4"/>
      <c r="G410" s="4"/>
    </row>
    <row r="411" spans="1:7" x14ac:dyDescent="0.2">
      <c r="B411" s="1"/>
      <c r="C411" s="4"/>
      <c r="D411" s="4"/>
      <c r="E411" s="4"/>
      <c r="F411" s="4"/>
      <c r="G411" s="4"/>
    </row>
    <row r="412" spans="1:7" x14ac:dyDescent="0.2">
      <c r="B412" s="4"/>
      <c r="C412" s="4"/>
      <c r="D412" s="4"/>
      <c r="E412" s="4"/>
      <c r="F412" s="4"/>
      <c r="G412" s="4"/>
    </row>
    <row r="413" spans="1:7" x14ac:dyDescent="0.2">
      <c r="B413" s="4"/>
      <c r="C413" s="4"/>
      <c r="D413" s="4"/>
      <c r="E413" s="4"/>
      <c r="F413" s="4"/>
      <c r="G413" s="4"/>
    </row>
    <row r="414" spans="1:7" x14ac:dyDescent="0.2">
      <c r="B414" s="4"/>
      <c r="C414" s="4"/>
      <c r="D414" s="4"/>
      <c r="E414" s="4"/>
      <c r="F414" s="4"/>
      <c r="G414" s="4"/>
    </row>
    <row r="415" spans="1:7" x14ac:dyDescent="0.2">
      <c r="B415" s="4"/>
      <c r="C415" s="4"/>
      <c r="D415" s="4"/>
      <c r="E415" s="4"/>
      <c r="F415" s="4"/>
      <c r="G415" s="4"/>
    </row>
    <row r="416" spans="1:7" x14ac:dyDescent="0.2">
      <c r="B416" s="4"/>
      <c r="C416" s="4"/>
      <c r="D416" s="4"/>
      <c r="E416" s="4"/>
      <c r="F416" s="4"/>
      <c r="G416" s="4"/>
    </row>
    <row r="417" spans="1:8" x14ac:dyDescent="0.2">
      <c r="B417" s="4"/>
      <c r="C417" s="4"/>
      <c r="D417" s="4"/>
      <c r="E417" s="4"/>
      <c r="F417" s="4"/>
      <c r="G417" s="4"/>
    </row>
    <row r="418" spans="1:8" x14ac:dyDescent="0.2">
      <c r="B418" s="127" t="s">
        <v>71</v>
      </c>
      <c r="C418" s="4"/>
      <c r="D418" s="4"/>
      <c r="E418" s="4"/>
      <c r="F418" s="4"/>
      <c r="G418" s="4"/>
    </row>
    <row r="419" spans="1:8" x14ac:dyDescent="0.2">
      <c r="B419" s="4"/>
      <c r="C419" s="4"/>
      <c r="D419" s="4"/>
      <c r="E419" s="4"/>
      <c r="F419" s="4"/>
      <c r="G419" s="4"/>
    </row>
    <row r="420" spans="1:8" x14ac:dyDescent="0.2">
      <c r="B420" s="4"/>
      <c r="C420" s="4"/>
      <c r="D420" s="4"/>
      <c r="E420" s="4"/>
      <c r="F420" s="4"/>
      <c r="G420" s="4"/>
    </row>
    <row r="421" spans="1:8" x14ac:dyDescent="0.2">
      <c r="B421" s="4"/>
      <c r="C421" s="4"/>
      <c r="D421" s="4"/>
      <c r="E421" s="4"/>
      <c r="F421" s="4"/>
      <c r="G421" s="4"/>
    </row>
    <row r="422" spans="1:8" x14ac:dyDescent="0.2">
      <c r="B422" s="4"/>
      <c r="C422" s="4"/>
      <c r="E422" s="4"/>
      <c r="F422" s="4"/>
      <c r="G422" s="4"/>
    </row>
    <row r="423" spans="1:8" x14ac:dyDescent="0.2">
      <c r="B423" s="4"/>
      <c r="C423" s="4"/>
      <c r="D423" s="4"/>
      <c r="E423" s="4"/>
      <c r="F423" s="4"/>
      <c r="G423" s="4"/>
    </row>
    <row r="424" spans="1:8" x14ac:dyDescent="0.2">
      <c r="B424" s="4"/>
      <c r="C424" s="4"/>
      <c r="D424" s="4"/>
      <c r="E424" s="4"/>
      <c r="F424" s="4"/>
      <c r="G424" s="4"/>
    </row>
    <row r="425" spans="1:8" ht="17" thickBot="1" x14ac:dyDescent="0.25">
      <c r="B425" s="4"/>
      <c r="C425" s="4"/>
      <c r="D425" s="4"/>
      <c r="E425" s="4"/>
      <c r="F425" s="4"/>
      <c r="G425" s="4"/>
    </row>
    <row r="426" spans="1:8" x14ac:dyDescent="0.2">
      <c r="A426" s="69" t="s">
        <v>1671</v>
      </c>
      <c r="B426" s="113"/>
      <c r="C426" s="113"/>
      <c r="D426" s="113"/>
      <c r="E426" s="113"/>
      <c r="F426" s="113"/>
      <c r="G426" s="113"/>
      <c r="H426" s="236"/>
    </row>
    <row r="427" spans="1:8" x14ac:dyDescent="0.2">
      <c r="A427" s="64" t="s">
        <v>1672</v>
      </c>
      <c r="B427" s="4"/>
      <c r="C427" s="4"/>
      <c r="D427" s="4"/>
      <c r="E427" s="4"/>
      <c r="F427" s="4"/>
      <c r="G427" s="4"/>
      <c r="H427" s="237"/>
    </row>
    <row r="428" spans="1:8" ht="17" thickBot="1" x14ac:dyDescent="0.25">
      <c r="A428" s="65" t="s">
        <v>1673</v>
      </c>
      <c r="B428" s="115"/>
      <c r="C428" s="115"/>
      <c r="D428" s="115"/>
      <c r="E428" s="115"/>
      <c r="F428" s="115"/>
      <c r="G428" s="115"/>
      <c r="H428" s="238"/>
    </row>
    <row r="430" spans="1:8" x14ac:dyDescent="0.2">
      <c r="A430" s="62" t="s">
        <v>1817</v>
      </c>
    </row>
    <row r="431" spans="1:8" x14ac:dyDescent="0.2">
      <c r="A431" s="62" t="s">
        <v>1818</v>
      </c>
    </row>
    <row r="432" spans="1:8" x14ac:dyDescent="0.2">
      <c r="A432" s="62" t="s">
        <v>1819</v>
      </c>
    </row>
    <row r="433" spans="1:6" x14ac:dyDescent="0.2">
      <c r="A433" s="62" t="s">
        <v>1820</v>
      </c>
    </row>
    <row r="434" spans="1:6" x14ac:dyDescent="0.2">
      <c r="A434" s="62" t="s">
        <v>1821</v>
      </c>
    </row>
    <row r="435" spans="1:6" x14ac:dyDescent="0.2">
      <c r="A435" s="62" t="s">
        <v>1822</v>
      </c>
    </row>
    <row r="436" spans="1:6" x14ac:dyDescent="0.2">
      <c r="A436" s="62" t="s">
        <v>1823</v>
      </c>
    </row>
    <row r="437" spans="1:6" x14ac:dyDescent="0.2">
      <c r="A437" s="62" t="s">
        <v>1824</v>
      </c>
    </row>
    <row r="438" spans="1:6" x14ac:dyDescent="0.2">
      <c r="A438" s="62" t="s">
        <v>1825</v>
      </c>
    </row>
    <row r="439" spans="1:6" x14ac:dyDescent="0.2">
      <c r="A439" s="62" t="s">
        <v>1826</v>
      </c>
    </row>
    <row r="440" spans="1:6" x14ac:dyDescent="0.2">
      <c r="A440" s="62" t="s">
        <v>1827</v>
      </c>
    </row>
    <row r="441" spans="1:6" x14ac:dyDescent="0.2">
      <c r="A441" s="62" t="s">
        <v>1828</v>
      </c>
    </row>
    <row r="443" spans="1:6" x14ac:dyDescent="0.2">
      <c r="B443" s="1"/>
      <c r="C443" s="4"/>
      <c r="D443" s="4"/>
      <c r="E443" s="4"/>
      <c r="F443" s="4" t="s">
        <v>262</v>
      </c>
    </row>
    <row r="444" spans="1:6" x14ac:dyDescent="0.2">
      <c r="B444" s="1"/>
      <c r="C444" s="4"/>
      <c r="D444" s="4"/>
      <c r="E444" s="4"/>
      <c r="F444" s="4"/>
    </row>
    <row r="445" spans="1:6" x14ac:dyDescent="0.2">
      <c r="B445" s="1"/>
      <c r="C445" s="4"/>
      <c r="D445" s="4"/>
      <c r="E445" s="4"/>
      <c r="F445" s="4"/>
    </row>
    <row r="446" spans="1:6" x14ac:dyDescent="0.2">
      <c r="B446" s="4"/>
      <c r="C446" s="4"/>
      <c r="D446" s="4"/>
      <c r="E446" s="4"/>
      <c r="F446" s="4"/>
    </row>
    <row r="447" spans="1:6" x14ac:dyDescent="0.2">
      <c r="B447" s="4"/>
      <c r="C447" s="4"/>
      <c r="D447" s="4"/>
      <c r="E447" s="4"/>
      <c r="F447" s="4"/>
    </row>
    <row r="448" spans="1:6" x14ac:dyDescent="0.2">
      <c r="B448" s="4"/>
      <c r="C448" s="4"/>
      <c r="D448" s="4"/>
      <c r="E448" s="4"/>
      <c r="F448" s="4"/>
    </row>
    <row r="449" spans="2:6" x14ac:dyDescent="0.2">
      <c r="B449" s="4"/>
      <c r="C449" s="4"/>
      <c r="D449" s="4"/>
      <c r="E449" s="4"/>
      <c r="F449" s="4"/>
    </row>
    <row r="450" spans="2:6" x14ac:dyDescent="0.2">
      <c r="B450" s="4"/>
      <c r="C450" s="4"/>
      <c r="D450" s="4"/>
      <c r="E450" s="4"/>
      <c r="F450" s="4"/>
    </row>
    <row r="451" spans="2:6" x14ac:dyDescent="0.2">
      <c r="B451" s="4"/>
      <c r="C451" s="4"/>
      <c r="D451" s="4"/>
      <c r="E451" s="4"/>
      <c r="F451" s="4"/>
    </row>
    <row r="452" spans="2:6" x14ac:dyDescent="0.2">
      <c r="B452" s="127"/>
      <c r="C452" s="4"/>
      <c r="D452" s="4"/>
      <c r="E452" s="4"/>
      <c r="F452" s="4"/>
    </row>
    <row r="453" spans="2:6" x14ac:dyDescent="0.2">
      <c r="B453" s="4"/>
      <c r="C453" s="4"/>
      <c r="D453" s="4"/>
      <c r="E453" s="4"/>
      <c r="F453" s="4"/>
    </row>
    <row r="454" spans="2:6" x14ac:dyDescent="0.2">
      <c r="B454" s="4"/>
      <c r="C454" s="4"/>
      <c r="D454" s="4"/>
      <c r="E454" s="4"/>
      <c r="F454" s="4"/>
    </row>
    <row r="455" spans="2:6" x14ac:dyDescent="0.2">
      <c r="B455" s="4"/>
      <c r="C455" s="4"/>
      <c r="D455" s="4"/>
      <c r="E455" s="4"/>
      <c r="F455" s="4"/>
    </row>
    <row r="456" spans="2:6" x14ac:dyDescent="0.2">
      <c r="B456" s="4"/>
      <c r="C456" s="4"/>
      <c r="E456" s="4"/>
      <c r="F456" s="4"/>
    </row>
    <row r="457" spans="2:6" x14ac:dyDescent="0.2">
      <c r="B457" s="4"/>
      <c r="C457" s="4"/>
      <c r="D457" s="4"/>
      <c r="E457" s="4"/>
      <c r="F457" s="4"/>
    </row>
    <row r="458" spans="2:6" x14ac:dyDescent="0.2">
      <c r="B458" s="4"/>
      <c r="C458" s="4"/>
      <c r="D458" s="4"/>
      <c r="E458" s="4"/>
      <c r="F458" s="4"/>
    </row>
    <row r="459" spans="2:6" x14ac:dyDescent="0.2">
      <c r="B459" s="4"/>
      <c r="C459" s="4"/>
      <c r="D459" s="4"/>
      <c r="E459" s="4"/>
      <c r="F459" s="4"/>
    </row>
  </sheetData>
  <mergeCells count="1">
    <mergeCell ref="A73:H73"/>
  </mergeCells>
  <pageMargins left="0.7" right="0.7" top="0.75" bottom="0.75" header="0.3" footer="0.3"/>
  <pageSetup paperSize="9" scale="95" orientation="portrait" horizontalDpi="0" verticalDpi="0"/>
  <colBreaks count="1" manualBreakCount="1">
    <brk id="8" max="1048575" man="1"/>
  </colBreaks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39B3D1-E049-9D40-8C86-8EB303314507}">
  <dimension ref="A1:H95"/>
  <sheetViews>
    <sheetView rightToLeft="1" topLeftCell="A72" zoomScale="330" zoomScaleNormal="92" zoomScaleSheetLayoutView="150" workbookViewId="0">
      <selection activeCell="H1" sqref="H1"/>
    </sheetView>
  </sheetViews>
  <sheetFormatPr baseColWidth="10" defaultRowHeight="16" x14ac:dyDescent="0.2"/>
  <cols>
    <col min="1" max="1" width="13.1640625" customWidth="1"/>
  </cols>
  <sheetData>
    <row r="1" spans="1:8" s="1" customFormat="1" x14ac:dyDescent="0.2">
      <c r="A1" s="61" t="s">
        <v>2460</v>
      </c>
      <c r="B1" s="2"/>
      <c r="C1" s="2"/>
      <c r="D1" s="2"/>
      <c r="E1" s="2"/>
      <c r="F1" s="2"/>
      <c r="G1" s="2"/>
      <c r="H1" s="3" t="s">
        <v>2461</v>
      </c>
    </row>
    <row r="3" spans="1:8" x14ac:dyDescent="0.2">
      <c r="A3" s="1"/>
      <c r="B3" s="1"/>
      <c r="C3" s="13"/>
      <c r="D3" s="1"/>
      <c r="E3" s="1"/>
      <c r="F3" s="1"/>
      <c r="G3" s="1"/>
      <c r="H3" s="1"/>
    </row>
    <row r="4" spans="1:8" x14ac:dyDescent="0.2">
      <c r="A4" s="1"/>
      <c r="B4" s="1"/>
      <c r="C4" s="13"/>
      <c r="D4" s="1"/>
      <c r="E4" s="1"/>
      <c r="F4" s="1"/>
      <c r="G4" s="1"/>
      <c r="H4" s="1"/>
    </row>
    <row r="5" spans="1:8" x14ac:dyDescent="0.2">
      <c r="A5" s="1"/>
      <c r="B5" s="1"/>
      <c r="C5" s="13"/>
      <c r="D5" s="1"/>
      <c r="E5" s="1"/>
      <c r="F5" s="1"/>
      <c r="G5" s="1"/>
      <c r="H5" s="1"/>
    </row>
    <row r="6" spans="1:8" x14ac:dyDescent="0.2">
      <c r="A6" s="1"/>
      <c r="B6" s="1"/>
      <c r="C6" s="13"/>
      <c r="D6" s="1"/>
      <c r="E6" s="1"/>
      <c r="F6" s="1"/>
      <c r="G6" s="1"/>
      <c r="H6" s="1"/>
    </row>
    <row r="7" spans="1:8" x14ac:dyDescent="0.2">
      <c r="A7" s="1"/>
      <c r="B7" s="1"/>
      <c r="C7" s="13"/>
      <c r="D7" s="1"/>
      <c r="E7" s="1"/>
      <c r="F7" s="1"/>
      <c r="G7" s="1"/>
      <c r="H7" s="1"/>
    </row>
    <row r="8" spans="1:8" x14ac:dyDescent="0.2">
      <c r="A8" s="1"/>
      <c r="B8" s="1"/>
      <c r="C8" s="13"/>
      <c r="D8" s="1"/>
      <c r="E8" s="1"/>
      <c r="F8" s="1"/>
      <c r="G8" s="1"/>
      <c r="H8" s="1"/>
    </row>
    <row r="9" spans="1:8" ht="17" thickBot="1" x14ac:dyDescent="0.25">
      <c r="A9" s="4" t="s">
        <v>1567</v>
      </c>
      <c r="B9" s="1"/>
      <c r="C9" s="13"/>
      <c r="D9" s="1"/>
      <c r="E9" s="1"/>
      <c r="F9" s="1"/>
      <c r="G9" s="1"/>
      <c r="H9" s="1"/>
    </row>
    <row r="10" spans="1:8" x14ac:dyDescent="0.2">
      <c r="A10" s="97" t="s">
        <v>1568</v>
      </c>
      <c r="B10" s="39"/>
      <c r="C10" s="229"/>
      <c r="D10" s="39"/>
      <c r="E10" s="39"/>
      <c r="F10" s="39"/>
      <c r="G10" s="39"/>
      <c r="H10" s="40"/>
    </row>
    <row r="11" spans="1:8" x14ac:dyDescent="0.2">
      <c r="A11" s="41" t="s">
        <v>1572</v>
      </c>
      <c r="B11" s="1"/>
      <c r="C11" s="13"/>
      <c r="D11" s="1"/>
      <c r="E11" s="1"/>
      <c r="F11" s="1"/>
      <c r="G11" s="1"/>
      <c r="H11" s="42"/>
    </row>
    <row r="12" spans="1:8" x14ac:dyDescent="0.2">
      <c r="A12" s="41" t="s">
        <v>1571</v>
      </c>
      <c r="B12" s="1"/>
      <c r="C12" s="13"/>
      <c r="D12" s="1"/>
      <c r="E12" s="1"/>
      <c r="F12" s="1"/>
      <c r="G12" s="1"/>
      <c r="H12" s="42"/>
    </row>
    <row r="13" spans="1:8" x14ac:dyDescent="0.2">
      <c r="A13" s="41" t="s">
        <v>1569</v>
      </c>
      <c r="B13" s="1"/>
      <c r="C13" s="13"/>
      <c r="D13" s="1"/>
      <c r="E13" s="1"/>
      <c r="F13" s="1"/>
      <c r="G13" s="1"/>
      <c r="H13" s="42"/>
    </row>
    <row r="14" spans="1:8" ht="17" thickBot="1" x14ac:dyDescent="0.25">
      <c r="A14" s="43" t="s">
        <v>1570</v>
      </c>
      <c r="B14" s="44"/>
      <c r="C14" s="230"/>
      <c r="D14" s="44"/>
      <c r="E14" s="44"/>
      <c r="F14" s="44"/>
      <c r="G14" s="44"/>
      <c r="H14" s="45"/>
    </row>
    <row r="16" spans="1:8" s="1" customFormat="1" x14ac:dyDescent="0.2">
      <c r="A16" s="117" t="s">
        <v>725</v>
      </c>
      <c r="B16" s="117"/>
      <c r="C16" s="117"/>
      <c r="D16" s="117"/>
      <c r="E16" s="117"/>
      <c r="F16" s="117"/>
      <c r="G16" s="117" t="s">
        <v>730</v>
      </c>
      <c r="H16" s="117"/>
    </row>
    <row r="17" spans="1:7" s="1" customFormat="1" x14ac:dyDescent="0.2">
      <c r="A17" s="1" t="s">
        <v>719</v>
      </c>
      <c r="G17" s="13"/>
    </row>
    <row r="18" spans="1:7" s="1" customFormat="1" x14ac:dyDescent="0.2">
      <c r="A18" s="1" t="s">
        <v>720</v>
      </c>
      <c r="G18" s="13"/>
    </row>
    <row r="19" spans="1:7" s="1" customFormat="1" x14ac:dyDescent="0.2">
      <c r="A19" s="1" t="s">
        <v>721</v>
      </c>
      <c r="G19" s="13"/>
    </row>
    <row r="20" spans="1:7" s="1" customFormat="1" x14ac:dyDescent="0.2">
      <c r="A20" s="1" t="s">
        <v>722</v>
      </c>
      <c r="G20" s="4"/>
    </row>
    <row r="21" spans="1:7" s="1" customFormat="1" x14ac:dyDescent="0.2"/>
    <row r="22" spans="1:7" s="1" customFormat="1" x14ac:dyDescent="0.2">
      <c r="A22" s="1" t="s">
        <v>723</v>
      </c>
    </row>
    <row r="23" spans="1:7" s="1" customFormat="1" x14ac:dyDescent="0.2">
      <c r="A23" s="1" t="s">
        <v>724</v>
      </c>
    </row>
    <row r="24" spans="1:7" x14ac:dyDescent="0.2">
      <c r="A24" s="1" t="s">
        <v>726</v>
      </c>
    </row>
    <row r="25" spans="1:7" x14ac:dyDescent="0.2">
      <c r="A25" s="1" t="s">
        <v>727</v>
      </c>
    </row>
    <row r="26" spans="1:7" x14ac:dyDescent="0.2">
      <c r="A26" s="1" t="s">
        <v>728</v>
      </c>
      <c r="D26" s="13" t="s">
        <v>1608</v>
      </c>
    </row>
    <row r="27" spans="1:7" x14ac:dyDescent="0.2">
      <c r="A27" s="1" t="s">
        <v>729</v>
      </c>
    </row>
    <row r="29" spans="1:7" x14ac:dyDescent="0.2">
      <c r="A29" s="1" t="s">
        <v>715</v>
      </c>
    </row>
    <row r="30" spans="1:7" x14ac:dyDescent="0.2">
      <c r="A30" s="1" t="s">
        <v>1573</v>
      </c>
    </row>
    <row r="31" spans="1:7" x14ac:dyDescent="0.2">
      <c r="A31" s="1" t="s">
        <v>1574</v>
      </c>
    </row>
    <row r="32" spans="1:7" x14ac:dyDescent="0.2">
      <c r="A32" s="1" t="s">
        <v>1575</v>
      </c>
    </row>
    <row r="33" spans="1:8" x14ac:dyDescent="0.2">
      <c r="A33" s="1"/>
    </row>
    <row r="34" spans="1:8" x14ac:dyDescent="0.2">
      <c r="A34" s="4" t="s">
        <v>1576</v>
      </c>
    </row>
    <row r="35" spans="1:8" x14ac:dyDescent="0.2">
      <c r="A35" s="1" t="s">
        <v>1577</v>
      </c>
    </row>
    <row r="36" spans="1:8" x14ac:dyDescent="0.2">
      <c r="A36" s="1" t="s">
        <v>1578</v>
      </c>
    </row>
    <row r="38" spans="1:8" x14ac:dyDescent="0.2">
      <c r="A38" s="4" t="s">
        <v>1579</v>
      </c>
    </row>
    <row r="39" spans="1:8" x14ac:dyDescent="0.2">
      <c r="A39" s="1" t="s">
        <v>1580</v>
      </c>
    </row>
    <row r="40" spans="1:8" ht="17" thickBot="1" x14ac:dyDescent="0.25"/>
    <row r="41" spans="1:8" ht="17" thickBot="1" x14ac:dyDescent="0.25">
      <c r="A41" s="5" t="s">
        <v>1588</v>
      </c>
      <c r="B41" s="8"/>
      <c r="C41" s="8"/>
      <c r="D41" s="8"/>
      <c r="E41" s="8"/>
      <c r="F41" s="8"/>
      <c r="G41" s="9"/>
      <c r="H41" s="4"/>
    </row>
    <row r="43" spans="1:8" x14ac:dyDescent="0.2">
      <c r="A43" s="1"/>
      <c r="B43" s="21" t="s">
        <v>262</v>
      </c>
      <c r="C43" s="21" t="s">
        <v>262</v>
      </c>
      <c r="D43" s="21" t="s">
        <v>262</v>
      </c>
      <c r="E43" s="21" t="s">
        <v>262</v>
      </c>
      <c r="F43" s="1"/>
      <c r="G43" s="1"/>
    </row>
    <row r="44" spans="1:8" x14ac:dyDescent="0.2">
      <c r="A44" s="231" t="s">
        <v>71</v>
      </c>
      <c r="B44" s="75" t="s">
        <v>1581</v>
      </c>
      <c r="C44" s="75" t="s">
        <v>1582</v>
      </c>
      <c r="D44" s="75" t="s">
        <v>1583</v>
      </c>
      <c r="E44" s="75" t="s">
        <v>1250</v>
      </c>
      <c r="F44" s="1"/>
      <c r="G44" s="1"/>
    </row>
    <row r="45" spans="1:8" x14ac:dyDescent="0.2">
      <c r="A45" s="1">
        <v>400</v>
      </c>
      <c r="B45" s="21">
        <v>-2000</v>
      </c>
      <c r="C45" s="21">
        <f>(470-A45)*100-1500</f>
        <v>5500</v>
      </c>
      <c r="D45" s="21">
        <f>-((450-A45)*100-1000)</f>
        <v>-4000</v>
      </c>
      <c r="E45" s="21">
        <f>SUM(B45:D45)</f>
        <v>-500</v>
      </c>
      <c r="F45" s="1"/>
      <c r="G45" s="1"/>
    </row>
    <row r="46" spans="1:8" x14ac:dyDescent="0.2">
      <c r="A46" s="1">
        <f>A45+20</f>
        <v>420</v>
      </c>
      <c r="B46" s="21">
        <v>-2000</v>
      </c>
      <c r="C46" s="21">
        <f t="shared" ref="C46:C48" si="0">(470-A46)*100-1500</f>
        <v>3500</v>
      </c>
      <c r="D46" s="21">
        <f>-((450-A46)*100-1000)</f>
        <v>-2000</v>
      </c>
      <c r="E46" s="21">
        <f t="shared" ref="E46:E55" si="1">SUM(B46:D46)</f>
        <v>-500</v>
      </c>
      <c r="F46" s="1"/>
      <c r="G46" s="1"/>
    </row>
    <row r="47" spans="1:8" x14ac:dyDescent="0.2">
      <c r="A47" s="1">
        <f t="shared" ref="A47:A55" si="2">A46+20</f>
        <v>440</v>
      </c>
      <c r="B47" s="21">
        <v>-2000</v>
      </c>
      <c r="C47" s="21">
        <f t="shared" si="0"/>
        <v>1500</v>
      </c>
      <c r="D47" s="21">
        <f>-((450-A47)*100-1000)</f>
        <v>0</v>
      </c>
      <c r="E47" s="21">
        <f t="shared" si="1"/>
        <v>-500</v>
      </c>
      <c r="F47" s="1"/>
      <c r="G47" s="1"/>
    </row>
    <row r="48" spans="1:8" x14ac:dyDescent="0.2">
      <c r="A48" s="1">
        <f t="shared" si="2"/>
        <v>460</v>
      </c>
      <c r="B48" s="21">
        <v>-2000</v>
      </c>
      <c r="C48" s="21">
        <f t="shared" si="0"/>
        <v>-500</v>
      </c>
      <c r="D48" s="21">
        <v>1000</v>
      </c>
      <c r="E48" s="21">
        <f t="shared" si="1"/>
        <v>-1500</v>
      </c>
      <c r="F48" s="1"/>
      <c r="G48" s="1"/>
    </row>
    <row r="49" spans="1:8" x14ac:dyDescent="0.2">
      <c r="A49" s="1">
        <f t="shared" si="2"/>
        <v>480</v>
      </c>
      <c r="B49" s="21">
        <v>-2000</v>
      </c>
      <c r="C49" s="21">
        <v>-1500</v>
      </c>
      <c r="D49" s="21">
        <v>1000</v>
      </c>
      <c r="E49" s="21">
        <f t="shared" si="1"/>
        <v>-2500</v>
      </c>
      <c r="F49" s="1"/>
      <c r="G49" s="1"/>
    </row>
    <row r="50" spans="1:8" x14ac:dyDescent="0.2">
      <c r="A50" s="1">
        <f t="shared" si="2"/>
        <v>500</v>
      </c>
      <c r="B50" s="21">
        <v>-2000</v>
      </c>
      <c r="C50" s="21">
        <v>-1500</v>
      </c>
      <c r="D50" s="21">
        <v>1000</v>
      </c>
      <c r="E50" s="21">
        <f t="shared" si="1"/>
        <v>-2500</v>
      </c>
      <c r="F50" s="1"/>
      <c r="G50" s="1"/>
    </row>
    <row r="51" spans="1:8" x14ac:dyDescent="0.2">
      <c r="A51" s="1">
        <f t="shared" si="2"/>
        <v>520</v>
      </c>
      <c r="B51" s="21">
        <f>(A51-500)*100-2000</f>
        <v>0</v>
      </c>
      <c r="C51" s="21">
        <v>-1500</v>
      </c>
      <c r="D51" s="21">
        <v>1000</v>
      </c>
      <c r="E51" s="21">
        <f t="shared" si="1"/>
        <v>-500</v>
      </c>
      <c r="F51" s="1"/>
      <c r="G51" s="1"/>
    </row>
    <row r="52" spans="1:8" x14ac:dyDescent="0.2">
      <c r="A52" s="1">
        <f t="shared" si="2"/>
        <v>540</v>
      </c>
      <c r="B52" s="21">
        <f>(A52-500)*100-2000</f>
        <v>2000</v>
      </c>
      <c r="C52" s="21">
        <v>-1500</v>
      </c>
      <c r="D52" s="21">
        <v>1000</v>
      </c>
      <c r="E52" s="21">
        <f t="shared" si="1"/>
        <v>1500</v>
      </c>
      <c r="F52" s="1"/>
      <c r="G52" s="1"/>
    </row>
    <row r="53" spans="1:8" x14ac:dyDescent="0.2">
      <c r="A53" s="1">
        <f t="shared" si="2"/>
        <v>560</v>
      </c>
      <c r="B53" s="21">
        <f t="shared" ref="B53:B55" si="3">(A53-500)*100-2000</f>
        <v>4000</v>
      </c>
      <c r="C53" s="21">
        <v>-1500</v>
      </c>
      <c r="D53" s="21">
        <v>1000</v>
      </c>
      <c r="E53" s="21">
        <f t="shared" si="1"/>
        <v>3500</v>
      </c>
      <c r="F53" s="1"/>
      <c r="G53" s="1"/>
    </row>
    <row r="54" spans="1:8" x14ac:dyDescent="0.2">
      <c r="A54" s="1">
        <f t="shared" si="2"/>
        <v>580</v>
      </c>
      <c r="B54" s="21">
        <f t="shared" si="3"/>
        <v>6000</v>
      </c>
      <c r="C54" s="21">
        <v>-1500</v>
      </c>
      <c r="D54" s="21">
        <v>1000</v>
      </c>
      <c r="E54" s="21">
        <f t="shared" si="1"/>
        <v>5500</v>
      </c>
      <c r="F54" s="1"/>
      <c r="G54" s="1"/>
    </row>
    <row r="55" spans="1:8" x14ac:dyDescent="0.2">
      <c r="A55" s="1">
        <f t="shared" si="2"/>
        <v>600</v>
      </c>
      <c r="B55" s="21">
        <f t="shared" si="3"/>
        <v>8000</v>
      </c>
      <c r="C55" s="21">
        <v>-1500</v>
      </c>
      <c r="D55" s="21">
        <v>1000</v>
      </c>
      <c r="E55" s="21">
        <f t="shared" si="1"/>
        <v>7500</v>
      </c>
      <c r="F55" s="1"/>
      <c r="G55" s="1"/>
    </row>
    <row r="56" spans="1:8" x14ac:dyDescent="0.2">
      <c r="A56" s="1"/>
      <c r="B56" s="1"/>
      <c r="C56" s="1"/>
      <c r="D56" s="1"/>
      <c r="E56" s="1"/>
      <c r="F56" s="1"/>
      <c r="G56" s="1"/>
    </row>
    <row r="57" spans="1:8" x14ac:dyDescent="0.2">
      <c r="A57" s="1" t="s">
        <v>716</v>
      </c>
      <c r="B57" s="1" t="s">
        <v>1584</v>
      </c>
      <c r="C57" s="1"/>
      <c r="D57" s="1"/>
      <c r="E57" s="1"/>
      <c r="F57" s="1"/>
      <c r="G57" s="1"/>
    </row>
    <row r="58" spans="1:8" x14ac:dyDescent="0.2">
      <c r="A58" s="1"/>
      <c r="B58" s="1" t="s">
        <v>1585</v>
      </c>
      <c r="C58" s="1"/>
      <c r="D58" s="1"/>
      <c r="E58" s="1"/>
      <c r="F58" s="1"/>
      <c r="G58" s="1"/>
    </row>
    <row r="59" spans="1:8" x14ac:dyDescent="0.2">
      <c r="A59" s="1"/>
      <c r="B59" s="1" t="s">
        <v>1586</v>
      </c>
      <c r="C59" s="1"/>
      <c r="D59" s="1"/>
      <c r="E59" s="1"/>
      <c r="F59" s="1"/>
      <c r="G59" s="1"/>
    </row>
    <row r="60" spans="1:8" x14ac:dyDescent="0.2">
      <c r="A60" s="1"/>
      <c r="B60" s="1"/>
      <c r="C60" s="1"/>
      <c r="D60" s="1"/>
      <c r="E60" s="1"/>
      <c r="F60" s="1"/>
      <c r="G60" s="1" t="s">
        <v>1587</v>
      </c>
    </row>
    <row r="61" spans="1:8" ht="17" thickBot="1" x14ac:dyDescent="0.25"/>
    <row r="62" spans="1:8" ht="17" thickBot="1" x14ac:dyDescent="0.25">
      <c r="A62" s="5" t="s">
        <v>1592</v>
      </c>
      <c r="B62" s="8"/>
      <c r="C62" s="8"/>
      <c r="D62" s="8"/>
      <c r="E62" s="8"/>
      <c r="F62" s="8"/>
      <c r="G62" s="9"/>
      <c r="H62" s="4"/>
    </row>
    <row r="64" spans="1:8" x14ac:dyDescent="0.2">
      <c r="A64" s="1" t="s">
        <v>1589</v>
      </c>
      <c r="B64" s="1"/>
      <c r="C64" s="1"/>
      <c r="D64" s="1"/>
      <c r="E64" s="1"/>
      <c r="F64" s="1"/>
      <c r="G64" s="1"/>
    </row>
    <row r="65" spans="1:7" x14ac:dyDescent="0.2">
      <c r="A65" s="1" t="s">
        <v>1590</v>
      </c>
      <c r="B65" s="1"/>
      <c r="C65" s="1"/>
      <c r="D65" s="1"/>
      <c r="E65" s="1"/>
      <c r="F65" s="1"/>
      <c r="G65" s="1"/>
    </row>
    <row r="67" spans="1:7" x14ac:dyDescent="0.2">
      <c r="A67" s="1" t="s">
        <v>1591</v>
      </c>
    </row>
    <row r="69" spans="1:7" x14ac:dyDescent="0.2">
      <c r="A69" s="1" t="s">
        <v>1593</v>
      </c>
    </row>
    <row r="70" spans="1:7" x14ac:dyDescent="0.2">
      <c r="A70" s="1" t="s">
        <v>1598</v>
      </c>
    </row>
    <row r="71" spans="1:7" x14ac:dyDescent="0.2">
      <c r="A71" s="4" t="s">
        <v>1594</v>
      </c>
    </row>
    <row r="73" spans="1:7" x14ac:dyDescent="0.2">
      <c r="A73" s="1" t="s">
        <v>1595</v>
      </c>
    </row>
    <row r="74" spans="1:7" x14ac:dyDescent="0.2">
      <c r="A74" s="1" t="s">
        <v>1596</v>
      </c>
    </row>
    <row r="75" spans="1:7" x14ac:dyDescent="0.2">
      <c r="A75" s="1" t="s">
        <v>1597</v>
      </c>
    </row>
    <row r="76" spans="1:7" ht="17" thickBot="1" x14ac:dyDescent="0.25"/>
    <row r="77" spans="1:7" ht="17" thickBot="1" x14ac:dyDescent="0.25">
      <c r="A77" s="5" t="s">
        <v>1609</v>
      </c>
      <c r="B77" s="239"/>
      <c r="C77" s="239"/>
      <c r="D77" s="239"/>
      <c r="E77" s="239"/>
      <c r="F77" s="239"/>
      <c r="G77" s="240"/>
    </row>
    <row r="78" spans="1:7" x14ac:dyDescent="0.2">
      <c r="A78" s="1" t="s">
        <v>1610</v>
      </c>
    </row>
    <row r="79" spans="1:7" x14ac:dyDescent="0.2">
      <c r="A79" s="1" t="s">
        <v>1611</v>
      </c>
    </row>
    <row r="80" spans="1:7" x14ac:dyDescent="0.2">
      <c r="A80" s="1" t="s">
        <v>1612</v>
      </c>
    </row>
    <row r="81" spans="1:7" x14ac:dyDescent="0.2">
      <c r="A81" s="1" t="s">
        <v>1613</v>
      </c>
      <c r="B81" s="1"/>
      <c r="C81" s="1"/>
      <c r="D81" s="1"/>
      <c r="E81" s="1"/>
      <c r="F81" s="1"/>
      <c r="G81" s="1"/>
    </row>
    <row r="82" spans="1:7" x14ac:dyDescent="0.2">
      <c r="A82" s="1" t="s">
        <v>1614</v>
      </c>
      <c r="B82" s="1"/>
      <c r="C82" s="1"/>
      <c r="D82" s="1"/>
      <c r="E82" s="1"/>
      <c r="F82" s="1"/>
      <c r="G82" s="1"/>
    </row>
    <row r="83" spans="1:7" x14ac:dyDescent="0.2">
      <c r="A83" s="1" t="s">
        <v>1615</v>
      </c>
      <c r="B83" s="1"/>
      <c r="C83" s="1"/>
      <c r="D83" s="1"/>
      <c r="E83" s="1"/>
      <c r="F83" s="1"/>
      <c r="G83" s="1"/>
    </row>
    <row r="84" spans="1:7" x14ac:dyDescent="0.2">
      <c r="A84" s="1" t="s">
        <v>1616</v>
      </c>
      <c r="B84" s="1"/>
      <c r="C84" s="1"/>
      <c r="D84" s="1"/>
      <c r="E84" s="1"/>
      <c r="F84" s="1"/>
      <c r="G84" s="1"/>
    </row>
    <row r="85" spans="1:7" x14ac:dyDescent="0.2">
      <c r="A85" s="1" t="s">
        <v>1617</v>
      </c>
    </row>
    <row r="86" spans="1:7" x14ac:dyDescent="0.2">
      <c r="A86" s="1" t="s">
        <v>1618</v>
      </c>
    </row>
    <row r="87" spans="1:7" x14ac:dyDescent="0.2">
      <c r="A87" s="1" t="s">
        <v>1619</v>
      </c>
    </row>
    <row r="88" spans="1:7" x14ac:dyDescent="0.2">
      <c r="A88" s="1" t="s">
        <v>1620</v>
      </c>
    </row>
    <row r="89" spans="1:7" x14ac:dyDescent="0.2">
      <c r="A89" s="1" t="s">
        <v>1621</v>
      </c>
      <c r="B89" s="1"/>
      <c r="C89" s="1">
        <v>-2000</v>
      </c>
    </row>
    <row r="90" spans="1:7" x14ac:dyDescent="0.2">
      <c r="A90" s="1" t="s">
        <v>1622</v>
      </c>
      <c r="B90" s="1"/>
      <c r="C90" s="1">
        <v>-1500</v>
      </c>
    </row>
    <row r="91" spans="1:7" x14ac:dyDescent="0.2">
      <c r="A91" s="1" t="s">
        <v>1623</v>
      </c>
      <c r="B91" s="1"/>
      <c r="C91" s="1">
        <v>1000</v>
      </c>
    </row>
    <row r="92" spans="1:7" x14ac:dyDescent="0.2">
      <c r="A92" s="1" t="s">
        <v>1624</v>
      </c>
      <c r="B92" s="1"/>
      <c r="C92" s="241">
        <f>SUM(C89:C91)</f>
        <v>-2500</v>
      </c>
    </row>
    <row r="93" spans="1:7" ht="17" thickBot="1" x14ac:dyDescent="0.25"/>
    <row r="94" spans="1:7" ht="17" thickBot="1" x14ac:dyDescent="0.25">
      <c r="A94" s="5" t="s">
        <v>1625</v>
      </c>
      <c r="B94" s="239"/>
      <c r="C94" s="239"/>
      <c r="D94" s="239"/>
      <c r="E94" s="239"/>
      <c r="F94" s="239"/>
      <c r="G94" s="240"/>
    </row>
    <row r="95" spans="1:7" x14ac:dyDescent="0.2">
      <c r="A95" s="1" t="s">
        <v>1626</v>
      </c>
    </row>
  </sheetData>
  <pageMargins left="0.7" right="0.7" top="0.75" bottom="0.75" header="0.3" footer="0.3"/>
  <pageSetup paperSize="9" scale="95" orientation="portrait" horizontalDpi="0" verticalDpi="0"/>
  <colBreaks count="1" manualBreakCount="1">
    <brk id="8" max="1048575" man="1"/>
  </colBreaks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46DD6C-AEC4-424C-9AB1-87B8C96345AB}">
  <dimension ref="A1:J331"/>
  <sheetViews>
    <sheetView rightToLeft="1" zoomScale="308" zoomScaleNormal="92" zoomScaleSheetLayoutView="150" workbookViewId="0">
      <selection activeCell="A135" sqref="A135:H136"/>
    </sheetView>
  </sheetViews>
  <sheetFormatPr baseColWidth="10" defaultRowHeight="16" x14ac:dyDescent="0.2"/>
  <cols>
    <col min="1" max="1" width="13.1640625" customWidth="1"/>
    <col min="8" max="8" width="12" customWidth="1"/>
  </cols>
  <sheetData>
    <row r="1" spans="1:8" s="1" customFormat="1" x14ac:dyDescent="0.2">
      <c r="A1" s="61" t="s">
        <v>2462</v>
      </c>
      <c r="B1" s="2"/>
      <c r="C1" s="2"/>
      <c r="D1" s="2"/>
      <c r="E1" s="2"/>
      <c r="F1" s="2"/>
      <c r="G1" s="3"/>
      <c r="H1" s="3"/>
    </row>
    <row r="2" spans="1:8" s="1" customFormat="1" x14ac:dyDescent="0.2">
      <c r="A2" s="62" t="s">
        <v>1873</v>
      </c>
      <c r="B2" s="4"/>
      <c r="C2" s="4"/>
      <c r="D2" s="4"/>
      <c r="E2" s="4"/>
      <c r="F2" s="21"/>
      <c r="G2" s="221"/>
      <c r="H2" s="232"/>
    </row>
    <row r="3" spans="1:8" s="1" customFormat="1" x14ac:dyDescent="0.2">
      <c r="A3" s="62" t="s">
        <v>1874</v>
      </c>
      <c r="B3" s="4"/>
      <c r="C3" s="4"/>
      <c r="D3" s="4"/>
      <c r="E3" s="4"/>
      <c r="F3" s="21"/>
      <c r="G3" s="221"/>
      <c r="H3" s="232"/>
    </row>
    <row r="4" spans="1:8" s="1" customFormat="1" x14ac:dyDescent="0.2">
      <c r="A4" s="160"/>
      <c r="B4" s="4"/>
      <c r="C4" s="4"/>
      <c r="D4" s="4"/>
      <c r="E4" s="4"/>
      <c r="F4" s="21"/>
      <c r="G4" s="221"/>
      <c r="H4" s="232"/>
    </row>
    <row r="5" spans="1:8" s="1" customFormat="1" x14ac:dyDescent="0.2">
      <c r="A5" s="62"/>
      <c r="B5" s="4"/>
      <c r="C5" s="4"/>
      <c r="D5" s="4"/>
      <c r="E5" s="4"/>
      <c r="F5" s="21"/>
      <c r="G5" s="221"/>
      <c r="H5" s="232"/>
    </row>
    <row r="6" spans="1:8" s="1" customFormat="1" x14ac:dyDescent="0.2">
      <c r="A6" s="62"/>
      <c r="B6" s="4"/>
      <c r="C6" s="4"/>
      <c r="D6" s="4"/>
      <c r="E6" s="4"/>
      <c r="F6" s="21"/>
      <c r="G6" s="221"/>
      <c r="H6" s="232"/>
    </row>
    <row r="7" spans="1:8" s="1" customFormat="1" x14ac:dyDescent="0.2">
      <c r="A7" s="62"/>
      <c r="B7" s="4"/>
      <c r="C7" s="4"/>
      <c r="D7" s="4"/>
      <c r="E7" s="4"/>
      <c r="F7" s="21"/>
      <c r="G7" s="221"/>
      <c r="H7" s="232"/>
    </row>
    <row r="8" spans="1:8" s="1" customFormat="1" x14ac:dyDescent="0.2">
      <c r="A8" s="62"/>
      <c r="B8" s="4"/>
      <c r="C8" s="4"/>
      <c r="D8" s="4"/>
      <c r="E8" s="4"/>
      <c r="F8" s="21"/>
      <c r="G8" s="221"/>
      <c r="H8" s="232"/>
    </row>
    <row r="9" spans="1:8" s="1" customFormat="1" x14ac:dyDescent="0.2">
      <c r="A9" s="62"/>
      <c r="B9" s="4"/>
      <c r="C9" s="4"/>
      <c r="D9" s="4"/>
      <c r="E9" s="4"/>
      <c r="F9" s="21"/>
      <c r="G9" s="221"/>
      <c r="H9" s="232"/>
    </row>
    <row r="10" spans="1:8" s="1" customFormat="1" x14ac:dyDescent="0.2">
      <c r="A10" s="62"/>
      <c r="B10" s="4"/>
      <c r="C10" s="4"/>
      <c r="D10" s="4"/>
      <c r="E10" s="4"/>
      <c r="F10" s="21"/>
      <c r="G10" s="221"/>
      <c r="H10" s="232"/>
    </row>
    <row r="11" spans="1:8" s="1" customFormat="1" x14ac:dyDescent="0.2">
      <c r="A11" s="160"/>
      <c r="B11" s="4"/>
      <c r="C11" s="4"/>
      <c r="D11" s="4"/>
      <c r="E11" s="4"/>
      <c r="F11" s="21"/>
      <c r="G11" s="21"/>
      <c r="H11" s="232"/>
    </row>
    <row r="12" spans="1:8" s="1" customFormat="1" x14ac:dyDescent="0.2">
      <c r="A12" s="351" t="s">
        <v>1681</v>
      </c>
      <c r="B12" s="351"/>
      <c r="C12" s="351"/>
      <c r="D12" s="351"/>
      <c r="E12" s="351"/>
      <c r="F12" s="351"/>
      <c r="G12" s="351"/>
      <c r="H12" s="351"/>
    </row>
    <row r="13" spans="1:8" s="1" customFormat="1" x14ac:dyDescent="0.2">
      <c r="A13" s="160"/>
      <c r="B13" s="4"/>
      <c r="C13" s="4"/>
      <c r="D13" s="4"/>
      <c r="E13" s="4"/>
      <c r="F13" s="4"/>
      <c r="G13" s="4"/>
      <c r="H13" s="232"/>
    </row>
    <row r="14" spans="1:8" s="1" customFormat="1" x14ac:dyDescent="0.2">
      <c r="A14" s="117" t="s">
        <v>641</v>
      </c>
      <c r="B14" s="117"/>
      <c r="C14" s="117"/>
      <c r="D14" s="117"/>
      <c r="E14" s="117"/>
      <c r="F14" s="117"/>
      <c r="G14" s="117" t="s">
        <v>731</v>
      </c>
      <c r="H14" s="117"/>
    </row>
    <row r="15" spans="1:8" s="1" customFormat="1" x14ac:dyDescent="0.2">
      <c r="A15" s="1" t="s">
        <v>1843</v>
      </c>
      <c r="G15" s="13"/>
    </row>
    <row r="16" spans="1:8" s="1" customFormat="1" x14ac:dyDescent="0.2">
      <c r="A16" s="1" t="s">
        <v>1844</v>
      </c>
      <c r="G16" s="13"/>
    </row>
    <row r="17" spans="1:8" s="1" customFormat="1" x14ac:dyDescent="0.2">
      <c r="A17" s="1" t="s">
        <v>1908</v>
      </c>
      <c r="G17" s="13"/>
    </row>
    <row r="18" spans="1:8" s="1" customFormat="1" x14ac:dyDescent="0.2">
      <c r="A18" s="1" t="s">
        <v>1846</v>
      </c>
      <c r="D18" s="4"/>
      <c r="G18" s="4"/>
    </row>
    <row r="19" spans="1:8" s="1" customFormat="1" x14ac:dyDescent="0.2">
      <c r="A19" s="1" t="s">
        <v>1847</v>
      </c>
    </row>
    <row r="20" spans="1:8" s="1" customFormat="1" x14ac:dyDescent="0.2">
      <c r="A20" s="1" t="s">
        <v>1848</v>
      </c>
    </row>
    <row r="21" spans="1:8" s="1" customFormat="1" x14ac:dyDescent="0.2">
      <c r="A21" s="62" t="s">
        <v>1855</v>
      </c>
    </row>
    <row r="22" spans="1:8" s="1" customFormat="1" x14ac:dyDescent="0.2">
      <c r="A22" s="62" t="s">
        <v>1852</v>
      </c>
    </row>
    <row r="23" spans="1:8" s="1" customFormat="1" x14ac:dyDescent="0.2">
      <c r="A23" s="62" t="s">
        <v>1853</v>
      </c>
      <c r="E23" s="4"/>
    </row>
    <row r="24" spans="1:8" s="1" customFormat="1" x14ac:dyDescent="0.2">
      <c r="A24" s="1" t="s">
        <v>1857</v>
      </c>
    </row>
    <row r="25" spans="1:8" x14ac:dyDescent="0.2">
      <c r="A25" s="1" t="s">
        <v>1851</v>
      </c>
    </row>
    <row r="26" spans="1:8" x14ac:dyDescent="0.2">
      <c r="A26" s="13" t="s">
        <v>1947</v>
      </c>
    </row>
    <row r="27" spans="1:8" x14ac:dyDescent="0.2">
      <c r="A27" s="13" t="s">
        <v>1948</v>
      </c>
    </row>
    <row r="28" spans="1:8" x14ac:dyDescent="0.2">
      <c r="A28" s="1" t="s">
        <v>1849</v>
      </c>
    </row>
    <row r="29" spans="1:8" x14ac:dyDescent="0.2">
      <c r="A29" s="1" t="s">
        <v>1856</v>
      </c>
    </row>
    <row r="30" spans="1:8" s="1" customFormat="1" x14ac:dyDescent="0.2">
      <c r="A30" s="4" t="s">
        <v>1876</v>
      </c>
      <c r="B30" s="4"/>
      <c r="C30" s="4"/>
      <c r="D30" s="4"/>
      <c r="E30" s="4"/>
      <c r="F30" s="4"/>
      <c r="G30" s="4"/>
      <c r="H30" s="232"/>
    </row>
    <row r="31" spans="1:8" s="1" customFormat="1" x14ac:dyDescent="0.2">
      <c r="B31" s="4"/>
      <c r="C31" s="4"/>
      <c r="D31" s="4"/>
      <c r="E31" s="4"/>
      <c r="F31" s="4"/>
      <c r="G31" s="4"/>
      <c r="H31" s="232"/>
    </row>
    <row r="32" spans="1:8" s="1" customFormat="1" x14ac:dyDescent="0.2">
      <c r="A32" s="4" t="s">
        <v>78</v>
      </c>
      <c r="B32" s="4"/>
      <c r="C32" s="4"/>
      <c r="D32" s="4"/>
      <c r="E32" s="4"/>
      <c r="F32" s="4"/>
      <c r="G32" s="4"/>
      <c r="H32" s="232"/>
    </row>
    <row r="33" spans="1:8" s="1" customFormat="1" ht="17" thickBot="1" x14ac:dyDescent="0.25">
      <c r="B33" s="4"/>
      <c r="C33" s="4"/>
      <c r="D33" s="4"/>
      <c r="E33" s="4"/>
      <c r="F33" s="4"/>
      <c r="G33" s="4"/>
      <c r="H33" s="232"/>
    </row>
    <row r="34" spans="1:8" s="1" customFormat="1" x14ac:dyDescent="0.2">
      <c r="A34" s="97" t="s">
        <v>1844</v>
      </c>
      <c r="B34" s="113"/>
      <c r="C34" s="113"/>
      <c r="D34" s="113"/>
      <c r="E34" s="113"/>
      <c r="F34" s="113"/>
      <c r="G34" s="113"/>
      <c r="H34" s="236"/>
    </row>
    <row r="35" spans="1:8" s="1" customFormat="1" x14ac:dyDescent="0.2">
      <c r="A35" s="41" t="s">
        <v>1845</v>
      </c>
      <c r="B35" s="4"/>
      <c r="C35" s="4"/>
      <c r="D35" s="4"/>
      <c r="E35" s="4"/>
      <c r="F35" s="4"/>
      <c r="G35" s="4"/>
      <c r="H35" s="237"/>
    </row>
    <row r="36" spans="1:8" s="1" customFormat="1" x14ac:dyDescent="0.2">
      <c r="A36" s="41" t="s">
        <v>1846</v>
      </c>
      <c r="B36" s="4"/>
      <c r="C36" s="4"/>
      <c r="D36" s="4"/>
      <c r="E36" s="4"/>
      <c r="F36" s="4"/>
      <c r="G36" s="4"/>
      <c r="H36" s="237"/>
    </row>
    <row r="37" spans="1:8" s="1" customFormat="1" x14ac:dyDescent="0.2">
      <c r="A37" s="41" t="s">
        <v>1847</v>
      </c>
      <c r="B37" s="4"/>
      <c r="C37" s="4"/>
      <c r="D37" s="4"/>
      <c r="E37" s="4"/>
      <c r="F37" s="4"/>
      <c r="G37" s="4"/>
      <c r="H37" s="237"/>
    </row>
    <row r="38" spans="1:8" s="1" customFormat="1" ht="17" thickBot="1" x14ac:dyDescent="0.25">
      <c r="A38" s="43" t="s">
        <v>1848</v>
      </c>
      <c r="B38" s="115"/>
      <c r="C38" s="115"/>
      <c r="D38" s="115"/>
      <c r="E38" s="115"/>
      <c r="F38" s="115"/>
      <c r="G38" s="115"/>
      <c r="H38" s="238"/>
    </row>
    <row r="39" spans="1:8" s="1" customFormat="1" x14ac:dyDescent="0.2">
      <c r="B39" s="4"/>
      <c r="C39" s="4"/>
      <c r="D39" s="4"/>
      <c r="E39" s="4"/>
      <c r="F39" s="4"/>
      <c r="G39" s="4"/>
      <c r="H39" s="232"/>
    </row>
    <row r="40" spans="1:8" s="1" customFormat="1" x14ac:dyDescent="0.2">
      <c r="A40" s="1" t="s">
        <v>1909</v>
      </c>
      <c r="B40" s="4"/>
      <c r="C40" s="4"/>
      <c r="D40" s="4"/>
      <c r="E40" s="4"/>
      <c r="F40" s="4"/>
      <c r="G40" s="4"/>
      <c r="H40" s="232"/>
    </row>
    <row r="41" spans="1:8" s="1" customFormat="1" x14ac:dyDescent="0.2">
      <c r="A41" s="1" t="s">
        <v>1910</v>
      </c>
      <c r="B41" s="4"/>
      <c r="C41" s="4"/>
      <c r="D41" s="4"/>
      <c r="E41" s="4"/>
      <c r="F41" s="4"/>
      <c r="G41" s="4"/>
      <c r="H41" s="232"/>
    </row>
    <row r="42" spans="1:8" s="1" customFormat="1" x14ac:dyDescent="0.2">
      <c r="A42" s="1" t="s">
        <v>1911</v>
      </c>
      <c r="B42" s="4"/>
      <c r="C42" s="4"/>
      <c r="D42" s="4"/>
      <c r="E42" s="4"/>
      <c r="F42" s="4"/>
      <c r="G42" s="4"/>
      <c r="H42" s="232"/>
    </row>
    <row r="43" spans="1:8" s="1" customFormat="1" x14ac:dyDescent="0.2">
      <c r="B43" s="4"/>
      <c r="C43" s="4"/>
      <c r="D43" s="4"/>
      <c r="E43" s="4"/>
      <c r="F43" s="4"/>
      <c r="G43" s="4"/>
      <c r="H43" s="232"/>
    </row>
    <row r="44" spans="1:8" s="1" customFormat="1" x14ac:dyDescent="0.2">
      <c r="A44" s="14"/>
      <c r="B44" s="257" t="s">
        <v>262</v>
      </c>
      <c r="C44" s="257" t="s">
        <v>262</v>
      </c>
      <c r="D44" s="257" t="s">
        <v>1250</v>
      </c>
      <c r="E44" s="4"/>
      <c r="F44" s="4"/>
      <c r="G44" s="4"/>
      <c r="H44" s="232"/>
    </row>
    <row r="45" spans="1:8" s="1" customFormat="1" x14ac:dyDescent="0.2">
      <c r="A45" s="257" t="s">
        <v>71</v>
      </c>
      <c r="B45" s="257" t="s">
        <v>1912</v>
      </c>
      <c r="C45" s="257" t="s">
        <v>1913</v>
      </c>
      <c r="D45" s="257" t="s">
        <v>262</v>
      </c>
      <c r="E45" s="4"/>
      <c r="F45" s="4"/>
      <c r="G45" s="4"/>
      <c r="H45" s="232"/>
    </row>
    <row r="46" spans="1:8" s="1" customFormat="1" x14ac:dyDescent="0.2">
      <c r="A46" s="14">
        <v>30</v>
      </c>
      <c r="B46" s="34">
        <f>IF(A46&lt;80,80-A46-10,-10)</f>
        <v>40</v>
      </c>
      <c r="C46" s="34">
        <f>IF(A46&gt;90,A46-90-15,-15)</f>
        <v>-15</v>
      </c>
      <c r="D46" s="34">
        <f>B46+C46</f>
        <v>25</v>
      </c>
      <c r="E46" s="4"/>
      <c r="F46" s="4"/>
      <c r="G46" s="4"/>
      <c r="H46" s="232"/>
    </row>
    <row r="47" spans="1:8" s="1" customFormat="1" x14ac:dyDescent="0.2">
      <c r="A47" s="14">
        <f>A46+10</f>
        <v>40</v>
      </c>
      <c r="B47" s="34">
        <f t="shared" ref="B47:B56" si="0">IF(A47&lt;80,80-A47-10,-10)</f>
        <v>30</v>
      </c>
      <c r="C47" s="34">
        <f t="shared" ref="C47:C56" si="1">IF(A47&gt;90,A47-90-15,-15)</f>
        <v>-15</v>
      </c>
      <c r="D47" s="34">
        <f t="shared" ref="D47:D56" si="2">B47+C47</f>
        <v>15</v>
      </c>
      <c r="E47" s="4"/>
      <c r="F47" s="4"/>
      <c r="G47" s="4"/>
      <c r="H47" s="232"/>
    </row>
    <row r="48" spans="1:8" s="1" customFormat="1" x14ac:dyDescent="0.2">
      <c r="A48" s="14">
        <f t="shared" ref="A48:A56" si="3">A47+10</f>
        <v>50</v>
      </c>
      <c r="B48" s="34">
        <f t="shared" si="0"/>
        <v>20</v>
      </c>
      <c r="C48" s="34">
        <f t="shared" si="1"/>
        <v>-15</v>
      </c>
      <c r="D48" s="34">
        <f t="shared" si="2"/>
        <v>5</v>
      </c>
      <c r="E48" s="4"/>
      <c r="F48" s="4"/>
      <c r="G48" s="4"/>
      <c r="H48" s="232"/>
    </row>
    <row r="49" spans="1:8" s="1" customFormat="1" x14ac:dyDescent="0.2">
      <c r="A49" s="14">
        <f t="shared" si="3"/>
        <v>60</v>
      </c>
      <c r="B49" s="34">
        <f t="shared" si="0"/>
        <v>10</v>
      </c>
      <c r="C49" s="34">
        <f t="shared" si="1"/>
        <v>-15</v>
      </c>
      <c r="D49" s="34">
        <f t="shared" si="2"/>
        <v>-5</v>
      </c>
      <c r="E49" s="4"/>
      <c r="F49" s="4"/>
      <c r="G49" s="4"/>
      <c r="H49" s="232"/>
    </row>
    <row r="50" spans="1:8" s="1" customFormat="1" x14ac:dyDescent="0.2">
      <c r="A50" s="14">
        <f t="shared" si="3"/>
        <v>70</v>
      </c>
      <c r="B50" s="34">
        <f t="shared" si="0"/>
        <v>0</v>
      </c>
      <c r="C50" s="34">
        <f t="shared" si="1"/>
        <v>-15</v>
      </c>
      <c r="D50" s="34">
        <f t="shared" si="2"/>
        <v>-15</v>
      </c>
      <c r="E50" s="4"/>
      <c r="F50" s="4"/>
      <c r="G50" s="4"/>
      <c r="H50" s="232"/>
    </row>
    <row r="51" spans="1:8" s="1" customFormat="1" x14ac:dyDescent="0.2">
      <c r="A51" s="14">
        <f t="shared" si="3"/>
        <v>80</v>
      </c>
      <c r="B51" s="34">
        <f t="shared" si="0"/>
        <v>-10</v>
      </c>
      <c r="C51" s="34">
        <f t="shared" si="1"/>
        <v>-15</v>
      </c>
      <c r="D51" s="34">
        <f t="shared" si="2"/>
        <v>-25</v>
      </c>
      <c r="E51" s="4"/>
      <c r="F51" s="4"/>
      <c r="G51" s="4"/>
      <c r="H51" s="232"/>
    </row>
    <row r="52" spans="1:8" s="1" customFormat="1" x14ac:dyDescent="0.2">
      <c r="A52" s="14">
        <f t="shared" si="3"/>
        <v>90</v>
      </c>
      <c r="B52" s="34">
        <f t="shared" si="0"/>
        <v>-10</v>
      </c>
      <c r="C52" s="34">
        <f t="shared" si="1"/>
        <v>-15</v>
      </c>
      <c r="D52" s="34">
        <f t="shared" si="2"/>
        <v>-25</v>
      </c>
      <c r="E52" s="4"/>
      <c r="F52" s="4"/>
      <c r="G52" s="4"/>
      <c r="H52" s="232"/>
    </row>
    <row r="53" spans="1:8" s="1" customFormat="1" x14ac:dyDescent="0.2">
      <c r="A53" s="14">
        <f t="shared" si="3"/>
        <v>100</v>
      </c>
      <c r="B53" s="34">
        <f t="shared" si="0"/>
        <v>-10</v>
      </c>
      <c r="C53" s="34">
        <f t="shared" si="1"/>
        <v>-5</v>
      </c>
      <c r="D53" s="34">
        <f t="shared" si="2"/>
        <v>-15</v>
      </c>
      <c r="E53" s="4"/>
      <c r="F53" s="4"/>
      <c r="G53" s="4"/>
      <c r="H53" s="232"/>
    </row>
    <row r="54" spans="1:8" s="1" customFormat="1" x14ac:dyDescent="0.2">
      <c r="A54" s="14">
        <f t="shared" si="3"/>
        <v>110</v>
      </c>
      <c r="B54" s="34">
        <f t="shared" si="0"/>
        <v>-10</v>
      </c>
      <c r="C54" s="34">
        <f t="shared" si="1"/>
        <v>5</v>
      </c>
      <c r="D54" s="34">
        <f t="shared" si="2"/>
        <v>-5</v>
      </c>
      <c r="E54" s="4"/>
      <c r="F54" s="4"/>
      <c r="G54" s="4"/>
      <c r="H54" s="232"/>
    </row>
    <row r="55" spans="1:8" s="1" customFormat="1" x14ac:dyDescent="0.2">
      <c r="A55" s="14">
        <f t="shared" si="3"/>
        <v>120</v>
      </c>
      <c r="B55" s="34">
        <f t="shared" si="0"/>
        <v>-10</v>
      </c>
      <c r="C55" s="34">
        <f t="shared" si="1"/>
        <v>15</v>
      </c>
      <c r="D55" s="34">
        <f t="shared" si="2"/>
        <v>5</v>
      </c>
      <c r="E55" s="4"/>
      <c r="F55" s="4"/>
      <c r="G55" s="4"/>
      <c r="H55" s="232"/>
    </row>
    <row r="56" spans="1:8" s="1" customFormat="1" x14ac:dyDescent="0.2">
      <c r="A56" s="14">
        <f t="shared" si="3"/>
        <v>130</v>
      </c>
      <c r="B56" s="34">
        <f t="shared" si="0"/>
        <v>-10</v>
      </c>
      <c r="C56" s="34">
        <f t="shared" si="1"/>
        <v>25</v>
      </c>
      <c r="D56" s="34">
        <f t="shared" si="2"/>
        <v>15</v>
      </c>
      <c r="E56" s="4"/>
      <c r="F56" s="4"/>
      <c r="G56" s="4"/>
      <c r="H56" s="232"/>
    </row>
    <row r="57" spans="1:8" s="1" customFormat="1" x14ac:dyDescent="0.2">
      <c r="B57" s="4"/>
      <c r="C57" s="4"/>
      <c r="D57" s="4"/>
      <c r="E57" s="4"/>
      <c r="F57" s="4"/>
      <c r="G57" s="4"/>
      <c r="H57" s="232"/>
    </row>
    <row r="58" spans="1:8" s="1" customFormat="1" x14ac:dyDescent="0.2">
      <c r="A58" s="1" t="s">
        <v>1883</v>
      </c>
      <c r="B58" s="4"/>
      <c r="C58" s="4"/>
      <c r="D58" s="4"/>
      <c r="E58" s="4"/>
      <c r="F58" s="4"/>
      <c r="G58" s="4"/>
      <c r="H58" s="232"/>
    </row>
    <row r="59" spans="1:8" s="1" customFormat="1" x14ac:dyDescent="0.2">
      <c r="A59" s="1" t="s">
        <v>1884</v>
      </c>
      <c r="B59" s="4"/>
      <c r="C59" s="4"/>
      <c r="D59" s="4"/>
      <c r="E59" s="4"/>
      <c r="F59" s="4"/>
      <c r="G59" s="4"/>
      <c r="H59" s="232"/>
    </row>
    <row r="60" spans="1:8" s="1" customFormat="1" x14ac:dyDescent="0.2">
      <c r="B60" s="4"/>
      <c r="C60" s="4"/>
      <c r="D60" s="4"/>
      <c r="E60" s="4"/>
      <c r="F60" s="4"/>
      <c r="G60" s="4"/>
      <c r="H60" s="232"/>
    </row>
    <row r="61" spans="1:8" s="1" customFormat="1" x14ac:dyDescent="0.2">
      <c r="B61" s="4"/>
      <c r="C61" s="4"/>
      <c r="D61" s="4"/>
      <c r="E61" s="4"/>
      <c r="F61" s="4" t="s">
        <v>262</v>
      </c>
      <c r="G61" s="4"/>
      <c r="H61" s="232"/>
    </row>
    <row r="62" spans="1:8" s="1" customFormat="1" x14ac:dyDescent="0.2">
      <c r="B62" s="4"/>
      <c r="C62" s="4"/>
      <c r="D62" s="4"/>
      <c r="E62" s="4"/>
      <c r="F62" s="4"/>
      <c r="G62" s="4"/>
      <c r="H62" s="232"/>
    </row>
    <row r="63" spans="1:8" s="1" customFormat="1" x14ac:dyDescent="0.2">
      <c r="B63" s="4"/>
      <c r="C63" s="4"/>
      <c r="D63" s="4"/>
      <c r="E63" s="4"/>
      <c r="F63" s="4"/>
      <c r="G63" s="4"/>
      <c r="H63" s="232"/>
    </row>
    <row r="64" spans="1:8" s="1" customFormat="1" x14ac:dyDescent="0.2">
      <c r="B64" s="4"/>
      <c r="C64" s="4"/>
      <c r="D64" s="4"/>
      <c r="E64" s="4"/>
      <c r="F64" s="4"/>
      <c r="G64" s="4"/>
      <c r="H64" s="232"/>
    </row>
    <row r="65" spans="1:8" s="1" customFormat="1" x14ac:dyDescent="0.2">
      <c r="B65" s="4"/>
      <c r="C65" s="4"/>
      <c r="D65" s="4"/>
      <c r="E65" s="4"/>
      <c r="F65" s="4"/>
      <c r="G65" s="4"/>
      <c r="H65" s="232"/>
    </row>
    <row r="66" spans="1:8" s="1" customFormat="1" x14ac:dyDescent="0.2">
      <c r="B66" s="4"/>
      <c r="C66" s="4"/>
      <c r="D66" s="4"/>
      <c r="E66" s="4"/>
      <c r="F66" s="4"/>
      <c r="G66" s="4"/>
      <c r="H66" s="232"/>
    </row>
    <row r="67" spans="1:8" s="1" customFormat="1" x14ac:dyDescent="0.2">
      <c r="B67" s="4"/>
      <c r="C67" s="4"/>
      <c r="D67" s="4"/>
      <c r="E67" s="4"/>
      <c r="F67" s="4"/>
      <c r="G67" s="4"/>
      <c r="H67" s="232"/>
    </row>
    <row r="68" spans="1:8" s="1" customFormat="1" x14ac:dyDescent="0.2">
      <c r="B68" s="4"/>
      <c r="C68" s="4"/>
      <c r="D68" s="4"/>
      <c r="E68" s="4"/>
      <c r="F68" s="4"/>
      <c r="G68" s="4"/>
      <c r="H68" s="232"/>
    </row>
    <row r="69" spans="1:8" s="1" customFormat="1" x14ac:dyDescent="0.2">
      <c r="B69" s="127" t="s">
        <v>71</v>
      </c>
      <c r="C69" s="4"/>
      <c r="D69" s="4"/>
      <c r="E69" s="4"/>
      <c r="F69" s="4"/>
      <c r="G69" s="4"/>
      <c r="H69" s="232"/>
    </row>
    <row r="70" spans="1:8" s="1" customFormat="1" x14ac:dyDescent="0.2">
      <c r="B70" s="4"/>
      <c r="C70" s="4"/>
      <c r="D70" s="4"/>
      <c r="E70" s="4"/>
      <c r="F70" s="4"/>
      <c r="G70" s="4"/>
      <c r="H70" s="232"/>
    </row>
    <row r="71" spans="1:8" s="1" customFormat="1" x14ac:dyDescent="0.2">
      <c r="B71" s="4"/>
      <c r="C71" s="4"/>
      <c r="D71" s="4"/>
      <c r="E71" s="4"/>
      <c r="F71" s="4"/>
      <c r="G71" s="4"/>
      <c r="H71" s="232"/>
    </row>
    <row r="72" spans="1:8" s="1" customFormat="1" x14ac:dyDescent="0.2">
      <c r="B72" s="4"/>
      <c r="C72" s="4"/>
      <c r="D72" s="4"/>
      <c r="E72" s="4"/>
      <c r="F72" s="4"/>
      <c r="G72" s="4"/>
      <c r="H72" s="232"/>
    </row>
    <row r="73" spans="1:8" s="1" customFormat="1" x14ac:dyDescent="0.2">
      <c r="B73" s="4"/>
      <c r="C73" s="4"/>
      <c r="D73" s="4"/>
      <c r="E73" s="4"/>
      <c r="F73" s="4"/>
      <c r="G73" s="4"/>
      <c r="H73" s="232"/>
    </row>
    <row r="74" spans="1:8" s="1" customFormat="1" x14ac:dyDescent="0.2">
      <c r="B74" s="4"/>
      <c r="C74" s="4"/>
      <c r="D74" s="4"/>
      <c r="E74" s="4"/>
      <c r="F74" s="4"/>
      <c r="G74" s="4"/>
      <c r="H74" s="232"/>
    </row>
    <row r="75" spans="1:8" s="1" customFormat="1" x14ac:dyDescent="0.2">
      <c r="B75" s="4"/>
      <c r="C75" s="4"/>
      <c r="D75" s="4"/>
      <c r="E75" s="4"/>
      <c r="F75" s="4"/>
      <c r="G75" s="4"/>
      <c r="H75" s="232"/>
    </row>
    <row r="76" spans="1:8" s="1" customFormat="1" x14ac:dyDescent="0.2">
      <c r="B76" s="4"/>
      <c r="C76" s="4"/>
      <c r="D76" s="4"/>
      <c r="E76" s="4"/>
      <c r="F76" s="4"/>
      <c r="G76" s="4"/>
      <c r="H76" s="232"/>
    </row>
    <row r="77" spans="1:8" s="1" customFormat="1" x14ac:dyDescent="0.2">
      <c r="A77" s="1" t="s">
        <v>1914</v>
      </c>
      <c r="B77" s="4"/>
      <c r="C77" s="4"/>
      <c r="D77" s="4"/>
      <c r="E77" s="4"/>
      <c r="F77" s="4"/>
      <c r="G77" s="4"/>
      <c r="H77" s="232"/>
    </row>
    <row r="78" spans="1:8" s="1" customFormat="1" x14ac:dyDescent="0.2">
      <c r="A78" s="1" t="s">
        <v>1915</v>
      </c>
      <c r="B78" s="4"/>
      <c r="C78" s="4"/>
      <c r="D78" s="4"/>
      <c r="E78" s="4"/>
      <c r="F78" s="4"/>
      <c r="G78" s="4"/>
      <c r="H78" s="232"/>
    </row>
    <row r="79" spans="1:8" s="1" customFormat="1" x14ac:dyDescent="0.2">
      <c r="A79" s="1" t="s">
        <v>1916</v>
      </c>
      <c r="B79" s="4"/>
      <c r="C79" s="4"/>
      <c r="D79" s="4"/>
      <c r="E79" s="4"/>
      <c r="F79" s="4"/>
      <c r="G79" s="4"/>
      <c r="H79" s="232"/>
    </row>
    <row r="80" spans="1:8" s="1" customFormat="1" x14ac:dyDescent="0.2">
      <c r="A80" s="1" t="s">
        <v>1917</v>
      </c>
      <c r="B80" s="4"/>
      <c r="C80" s="4"/>
      <c r="D80" s="4"/>
      <c r="E80" s="4"/>
      <c r="F80" s="4"/>
      <c r="G80" s="4"/>
      <c r="H80" s="232"/>
    </row>
    <row r="81" spans="1:8" s="1" customFormat="1" x14ac:dyDescent="0.2">
      <c r="A81" s="1" t="s">
        <v>1918</v>
      </c>
      <c r="B81" s="4"/>
      <c r="C81" s="4"/>
      <c r="D81" s="4"/>
      <c r="E81" s="4"/>
      <c r="F81" s="4"/>
      <c r="G81" s="4"/>
      <c r="H81" s="232"/>
    </row>
    <row r="82" spans="1:8" s="1" customFormat="1" ht="17" thickBot="1" x14ac:dyDescent="0.25">
      <c r="B82" s="4"/>
      <c r="C82" s="4"/>
      <c r="D82" s="4"/>
      <c r="E82" s="4"/>
      <c r="F82" s="4"/>
      <c r="G82" s="4"/>
      <c r="H82" s="232"/>
    </row>
    <row r="83" spans="1:8" s="1" customFormat="1" x14ac:dyDescent="0.2">
      <c r="A83" s="69" t="s">
        <v>1855</v>
      </c>
      <c r="B83" s="113"/>
      <c r="C83" s="113"/>
      <c r="D83" s="113"/>
      <c r="E83" s="113"/>
      <c r="F83" s="113"/>
      <c r="G83" s="113"/>
      <c r="H83" s="236"/>
    </row>
    <row r="84" spans="1:8" s="1" customFormat="1" x14ac:dyDescent="0.2">
      <c r="A84" s="64" t="s">
        <v>1852</v>
      </c>
      <c r="B84" s="4"/>
      <c r="C84" s="4"/>
      <c r="D84" s="4"/>
      <c r="E84" s="4"/>
      <c r="F84" s="4"/>
      <c r="G84" s="4"/>
      <c r="H84" s="237"/>
    </row>
    <row r="85" spans="1:8" s="1" customFormat="1" ht="17" thickBot="1" x14ac:dyDescent="0.25">
      <c r="A85" s="65" t="s">
        <v>1853</v>
      </c>
      <c r="B85" s="115"/>
      <c r="C85" s="115"/>
      <c r="D85" s="115"/>
      <c r="E85" s="115"/>
      <c r="F85" s="115"/>
      <c r="G85" s="115"/>
      <c r="H85" s="238"/>
    </row>
    <row r="86" spans="1:8" s="1" customFormat="1" x14ac:dyDescent="0.2">
      <c r="B86" s="4"/>
      <c r="C86" s="4"/>
      <c r="D86" s="4"/>
      <c r="E86" s="4"/>
      <c r="F86" s="4"/>
      <c r="G86" s="4"/>
      <c r="H86" s="232"/>
    </row>
    <row r="87" spans="1:8" s="1" customFormat="1" x14ac:dyDescent="0.2">
      <c r="A87" s="1" t="s">
        <v>1919</v>
      </c>
      <c r="B87" s="4"/>
      <c r="C87" s="4"/>
      <c r="D87" s="4"/>
      <c r="E87" s="4"/>
      <c r="F87" s="4"/>
      <c r="G87" s="4"/>
      <c r="H87" s="232"/>
    </row>
    <row r="88" spans="1:8" s="1" customFormat="1" x14ac:dyDescent="0.2">
      <c r="A88" s="1" t="s">
        <v>1920</v>
      </c>
      <c r="B88" s="4"/>
      <c r="C88" s="4"/>
      <c r="D88" s="4"/>
      <c r="E88" s="4"/>
      <c r="F88" s="4"/>
      <c r="G88" s="4"/>
      <c r="H88" s="232"/>
    </row>
    <row r="89" spans="1:8" s="1" customFormat="1" x14ac:dyDescent="0.2">
      <c r="A89" s="1" t="s">
        <v>1921</v>
      </c>
      <c r="B89" s="4"/>
      <c r="C89" s="4"/>
      <c r="D89" s="4"/>
      <c r="E89" s="4"/>
      <c r="F89" s="4"/>
      <c r="G89" s="4"/>
      <c r="H89" s="232"/>
    </row>
    <row r="90" spans="1:8" s="1" customFormat="1" x14ac:dyDescent="0.2">
      <c r="A90" s="1" t="s">
        <v>1922</v>
      </c>
      <c r="B90" s="4"/>
      <c r="C90" s="4"/>
      <c r="D90" s="4"/>
      <c r="F90" s="4"/>
      <c r="G90" s="4"/>
      <c r="H90" s="232"/>
    </row>
    <row r="91" spans="1:8" s="1" customFormat="1" x14ac:dyDescent="0.2">
      <c r="B91" s="4"/>
      <c r="C91" s="4" t="s">
        <v>1924</v>
      </c>
      <c r="D91" s="4"/>
      <c r="E91" s="4" t="s">
        <v>1923</v>
      </c>
      <c r="F91" s="4"/>
      <c r="G91" s="4"/>
      <c r="H91" s="232"/>
    </row>
    <row r="92" spans="1:8" s="1" customFormat="1" ht="17" thickBot="1" x14ac:dyDescent="0.25">
      <c r="B92" s="4"/>
      <c r="C92" s="4"/>
      <c r="D92" s="4"/>
      <c r="E92" s="4"/>
      <c r="F92" s="4"/>
      <c r="G92" s="4"/>
      <c r="H92" s="232"/>
    </row>
    <row r="93" spans="1:8" s="1" customFormat="1" x14ac:dyDescent="0.2">
      <c r="A93" s="263">
        <f>80*100-900+180*100-1850</f>
        <v>23250</v>
      </c>
      <c r="B93" s="4"/>
      <c r="C93" s="4"/>
      <c r="D93" s="4"/>
      <c r="E93" s="4"/>
      <c r="F93" s="4" t="s">
        <v>1885</v>
      </c>
      <c r="G93" s="4"/>
      <c r="H93" s="232"/>
    </row>
    <row r="94" spans="1:8" s="1" customFormat="1" x14ac:dyDescent="0.2">
      <c r="A94" s="264" t="s">
        <v>1927</v>
      </c>
      <c r="B94" s="4"/>
      <c r="C94" s="4"/>
      <c r="D94" s="4"/>
      <c r="E94" s="4"/>
      <c r="F94" s="4"/>
      <c r="G94" s="4"/>
      <c r="H94" s="232"/>
    </row>
    <row r="95" spans="1:8" s="1" customFormat="1" ht="17" thickBot="1" x14ac:dyDescent="0.25">
      <c r="A95" s="265" t="s">
        <v>1928</v>
      </c>
      <c r="B95" s="4"/>
      <c r="C95" s="4"/>
      <c r="D95" s="4"/>
      <c r="E95" s="4"/>
      <c r="F95" s="4"/>
      <c r="G95" s="4"/>
      <c r="H95" s="232"/>
    </row>
    <row r="96" spans="1:8" s="1" customFormat="1" x14ac:dyDescent="0.2">
      <c r="A96" s="4"/>
      <c r="B96" s="4"/>
      <c r="C96" s="4"/>
      <c r="D96" s="4"/>
      <c r="E96" s="4"/>
      <c r="F96" s="4"/>
      <c r="G96" s="4"/>
      <c r="H96" s="232"/>
    </row>
    <row r="97" spans="1:8" s="1" customFormat="1" x14ac:dyDescent="0.2">
      <c r="A97" s="4"/>
      <c r="B97" s="104" t="s">
        <v>940</v>
      </c>
      <c r="C97" s="1" t="s">
        <v>1925</v>
      </c>
      <c r="D97" s="104" t="s">
        <v>940</v>
      </c>
      <c r="E97" s="1" t="s">
        <v>1925</v>
      </c>
      <c r="F97" s="4"/>
      <c r="G97" s="4"/>
      <c r="H97" s="232"/>
    </row>
    <row r="98" spans="1:8" s="1" customFormat="1" x14ac:dyDescent="0.2">
      <c r="A98" s="4"/>
      <c r="B98" s="4"/>
      <c r="C98" s="1" t="s">
        <v>1926</v>
      </c>
      <c r="D98" s="4"/>
      <c r="E98" s="1" t="s">
        <v>1926</v>
      </c>
      <c r="F98" s="4"/>
      <c r="G98" s="4"/>
      <c r="H98" s="232"/>
    </row>
    <row r="99" spans="1:8" s="1" customFormat="1" ht="17" thickBot="1" x14ac:dyDescent="0.25">
      <c r="A99" s="4"/>
      <c r="B99" s="4"/>
      <c r="D99" s="4"/>
      <c r="F99" s="4"/>
      <c r="G99" s="4"/>
      <c r="H99" s="232"/>
    </row>
    <row r="100" spans="1:8" s="1" customFormat="1" x14ac:dyDescent="0.2">
      <c r="A100" s="97" t="s">
        <v>1857</v>
      </c>
      <c r="B100" s="113"/>
      <c r="C100" s="113"/>
      <c r="D100" s="113"/>
      <c r="E100" s="113"/>
      <c r="F100" s="113"/>
      <c r="G100" s="113"/>
      <c r="H100" s="236"/>
    </row>
    <row r="101" spans="1:8" s="1" customFormat="1" x14ac:dyDescent="0.2">
      <c r="A101" s="41" t="s">
        <v>1851</v>
      </c>
      <c r="B101" s="4"/>
      <c r="C101" s="4"/>
      <c r="D101" s="4"/>
      <c r="E101" s="4"/>
      <c r="F101" s="4"/>
      <c r="G101" s="4"/>
      <c r="H101" s="237"/>
    </row>
    <row r="102" spans="1:8" s="1" customFormat="1" x14ac:dyDescent="0.2">
      <c r="A102" s="41" t="s">
        <v>1849</v>
      </c>
      <c r="B102" s="4"/>
      <c r="C102" s="4"/>
      <c r="D102" s="4"/>
      <c r="E102" s="4"/>
      <c r="F102" s="4"/>
      <c r="G102" s="4"/>
      <c r="H102" s="237"/>
    </row>
    <row r="103" spans="1:8" s="1" customFormat="1" ht="17" thickBot="1" x14ac:dyDescent="0.25">
      <c r="A103" s="43" t="s">
        <v>1850</v>
      </c>
      <c r="B103" s="115"/>
      <c r="C103" s="115"/>
      <c r="D103" s="115"/>
      <c r="E103" s="115"/>
      <c r="F103" s="115"/>
      <c r="G103" s="115"/>
      <c r="H103" s="238"/>
    </row>
    <row r="104" spans="1:8" s="1" customFormat="1" x14ac:dyDescent="0.2">
      <c r="B104" s="4"/>
      <c r="C104" s="4"/>
      <c r="D104" s="4"/>
      <c r="E104" s="4"/>
      <c r="F104" s="4"/>
      <c r="G104" s="4"/>
      <c r="H104" s="232"/>
    </row>
    <row r="105" spans="1:8" s="1" customFormat="1" x14ac:dyDescent="0.2">
      <c r="A105" s="4"/>
      <c r="B105" s="4"/>
      <c r="C105" s="4"/>
      <c r="D105" s="4"/>
      <c r="E105" s="328" t="s">
        <v>1930</v>
      </c>
      <c r="F105" s="328"/>
      <c r="G105" s="4" t="s">
        <v>1929</v>
      </c>
      <c r="H105" s="232"/>
    </row>
    <row r="106" spans="1:8" s="1" customFormat="1" x14ac:dyDescent="0.2">
      <c r="A106" s="1" t="s">
        <v>1886</v>
      </c>
      <c r="B106" s="4"/>
      <c r="C106" s="4"/>
      <c r="D106" s="4"/>
      <c r="E106" s="4"/>
      <c r="F106" s="4"/>
      <c r="G106" s="4"/>
      <c r="H106" s="232"/>
    </row>
    <row r="107" spans="1:8" s="1" customFormat="1" x14ac:dyDescent="0.2">
      <c r="B107" s="4"/>
      <c r="C107" s="4"/>
      <c r="D107" s="4"/>
      <c r="E107" s="4"/>
      <c r="F107" s="4"/>
      <c r="G107" s="4"/>
      <c r="H107" s="232" t="s">
        <v>1937</v>
      </c>
    </row>
    <row r="108" spans="1:8" s="1" customFormat="1" x14ac:dyDescent="0.2">
      <c r="B108" s="4"/>
      <c r="C108" s="4"/>
      <c r="D108" s="4"/>
      <c r="E108" s="4"/>
      <c r="F108" s="4"/>
      <c r="G108" s="4"/>
      <c r="H108" s="232"/>
    </row>
    <row r="109" spans="1:8" s="1" customFormat="1" x14ac:dyDescent="0.2">
      <c r="B109" s="4"/>
      <c r="C109" s="4"/>
      <c r="D109" s="4"/>
      <c r="E109" s="1" t="s">
        <v>940</v>
      </c>
      <c r="F109" s="4"/>
      <c r="G109" s="4"/>
      <c r="H109" s="232"/>
    </row>
    <row r="110" spans="1:8" s="1" customFormat="1" x14ac:dyDescent="0.2">
      <c r="B110" s="4"/>
      <c r="C110" s="4"/>
      <c r="D110" s="4"/>
      <c r="E110" s="1" t="s">
        <v>282</v>
      </c>
      <c r="F110" s="4"/>
      <c r="G110" s="1" t="s">
        <v>940</v>
      </c>
      <c r="H110" s="266" t="s">
        <v>1931</v>
      </c>
    </row>
    <row r="111" spans="1:8" s="1" customFormat="1" x14ac:dyDescent="0.2">
      <c r="B111" s="4"/>
      <c r="C111" s="4"/>
      <c r="D111" s="4"/>
      <c r="E111" s="1" t="s">
        <v>1936</v>
      </c>
      <c r="F111" s="4"/>
      <c r="G111" s="4"/>
      <c r="H111" s="266" t="s">
        <v>1932</v>
      </c>
    </row>
    <row r="112" spans="1:8" s="1" customFormat="1" x14ac:dyDescent="0.2">
      <c r="B112" s="4"/>
      <c r="C112" s="4"/>
      <c r="D112" s="4"/>
      <c r="E112" s="4"/>
      <c r="F112" s="1" t="s">
        <v>1935</v>
      </c>
      <c r="G112" s="1" t="s">
        <v>1933</v>
      </c>
      <c r="H112" s="266"/>
    </row>
    <row r="113" spans="1:8" s="1" customFormat="1" x14ac:dyDescent="0.2">
      <c r="B113" s="4"/>
      <c r="C113" s="4"/>
      <c r="D113" s="4"/>
      <c r="E113" s="4"/>
      <c r="F113" s="4"/>
      <c r="G113" s="1" t="s">
        <v>1934</v>
      </c>
      <c r="H113" s="266"/>
    </row>
    <row r="114" spans="1:8" s="1" customFormat="1" x14ac:dyDescent="0.2">
      <c r="B114" s="4"/>
      <c r="C114" s="4"/>
      <c r="D114" s="4"/>
      <c r="E114" s="4"/>
      <c r="F114" s="4"/>
      <c r="G114" s="4"/>
      <c r="H114" s="266"/>
    </row>
    <row r="115" spans="1:8" s="1" customFormat="1" x14ac:dyDescent="0.2">
      <c r="A115" s="1" t="s">
        <v>1887</v>
      </c>
      <c r="B115" s="4"/>
      <c r="C115" s="4"/>
      <c r="D115" s="4"/>
      <c r="E115" s="4"/>
      <c r="F115" s="4"/>
      <c r="G115" s="4"/>
      <c r="H115" s="232"/>
    </row>
    <row r="116" spans="1:8" s="1" customFormat="1" x14ac:dyDescent="0.2">
      <c r="B116" s="4"/>
      <c r="C116" s="4"/>
      <c r="D116" s="4"/>
      <c r="E116" s="4"/>
      <c r="F116" s="4"/>
      <c r="G116" s="4"/>
      <c r="H116" s="232" t="s">
        <v>1938</v>
      </c>
    </row>
    <row r="117" spans="1:8" s="1" customFormat="1" x14ac:dyDescent="0.2">
      <c r="A117" s="1" t="s">
        <v>1891</v>
      </c>
      <c r="B117" s="4"/>
      <c r="C117" s="4"/>
      <c r="D117" s="4"/>
      <c r="E117" s="4"/>
      <c r="F117" s="4"/>
      <c r="G117" s="4"/>
      <c r="H117" s="232"/>
    </row>
    <row r="118" spans="1:8" s="1" customFormat="1" x14ac:dyDescent="0.2">
      <c r="B118" s="4"/>
      <c r="C118" s="4"/>
      <c r="D118" s="4"/>
      <c r="E118" s="4"/>
      <c r="F118" s="4"/>
      <c r="G118" s="4"/>
      <c r="H118" s="232" t="s">
        <v>1888</v>
      </c>
    </row>
    <row r="119" spans="1:8" s="1" customFormat="1" x14ac:dyDescent="0.2">
      <c r="A119" s="1" t="s">
        <v>1889</v>
      </c>
      <c r="B119" s="4"/>
      <c r="C119" s="4"/>
      <c r="D119" s="4"/>
      <c r="E119" s="4"/>
      <c r="F119" s="4"/>
      <c r="G119" s="4"/>
      <c r="H119" s="232"/>
    </row>
    <row r="120" spans="1:8" s="1" customFormat="1" x14ac:dyDescent="0.2">
      <c r="B120" s="4"/>
      <c r="C120" s="4"/>
      <c r="D120" s="4"/>
      <c r="E120" s="4"/>
      <c r="F120" s="4"/>
      <c r="G120" s="4"/>
      <c r="H120" s="4" t="s">
        <v>1890</v>
      </c>
    </row>
    <row r="121" spans="1:8" s="1" customFormat="1" x14ac:dyDescent="0.2">
      <c r="A121" s="1" t="s">
        <v>1892</v>
      </c>
      <c r="B121" s="4"/>
      <c r="C121" s="4"/>
      <c r="D121" s="4"/>
      <c r="E121" s="4"/>
      <c r="F121" s="4"/>
      <c r="G121" s="4"/>
      <c r="H121" s="232"/>
    </row>
    <row r="122" spans="1:8" s="1" customFormat="1" x14ac:dyDescent="0.2">
      <c r="A122" s="1" t="s">
        <v>1893</v>
      </c>
      <c r="B122" s="4"/>
      <c r="C122" s="4"/>
      <c r="D122" s="4"/>
      <c r="E122" s="4"/>
      <c r="F122" s="4"/>
      <c r="G122" s="4"/>
      <c r="H122" s="232"/>
    </row>
    <row r="123" spans="1:8" s="1" customFormat="1" x14ac:dyDescent="0.2">
      <c r="B123" s="4"/>
      <c r="C123" s="4"/>
      <c r="D123" s="4"/>
      <c r="E123" s="4"/>
      <c r="F123" s="4"/>
      <c r="G123" s="4"/>
      <c r="H123" s="232"/>
    </row>
    <row r="124" spans="1:8" s="1" customFormat="1" x14ac:dyDescent="0.2">
      <c r="A124" s="117" t="s">
        <v>643</v>
      </c>
      <c r="B124" s="117"/>
      <c r="C124" s="117"/>
      <c r="D124" s="117"/>
      <c r="E124" s="117"/>
      <c r="F124" s="117"/>
      <c r="G124" s="117" t="s">
        <v>1860</v>
      </c>
      <c r="H124" s="117"/>
    </row>
    <row r="125" spans="1:8" x14ac:dyDescent="0.2">
      <c r="A125" s="1" t="s">
        <v>1939</v>
      </c>
    </row>
    <row r="126" spans="1:8" x14ac:dyDescent="0.2">
      <c r="A126" s="1" t="s">
        <v>1861</v>
      </c>
    </row>
    <row r="127" spans="1:8" x14ac:dyDescent="0.2">
      <c r="A127" s="1" t="s">
        <v>1862</v>
      </c>
    </row>
    <row r="128" spans="1:8" x14ac:dyDescent="0.2">
      <c r="A128" s="1" t="s">
        <v>1865</v>
      </c>
    </row>
    <row r="129" spans="1:8" x14ac:dyDescent="0.2">
      <c r="A129" s="1" t="s">
        <v>1863</v>
      </c>
    </row>
    <row r="130" spans="1:8" x14ac:dyDescent="0.2">
      <c r="A130" s="1"/>
    </row>
    <row r="131" spans="1:8" x14ac:dyDescent="0.2">
      <c r="A131" s="1" t="s">
        <v>1864</v>
      </c>
    </row>
    <row r="132" spans="1:8" x14ac:dyDescent="0.2">
      <c r="A132" s="1" t="s">
        <v>1866</v>
      </c>
    </row>
    <row r="133" spans="1:8" x14ac:dyDescent="0.2">
      <c r="A133" s="1" t="s">
        <v>1867</v>
      </c>
      <c r="C133" s="21"/>
      <c r="D133" s="21"/>
    </row>
    <row r="134" spans="1:8" x14ac:dyDescent="0.2">
      <c r="A134" s="1" t="s">
        <v>1868</v>
      </c>
      <c r="C134" s="21"/>
      <c r="D134" s="21"/>
    </row>
    <row r="135" spans="1:8" x14ac:dyDescent="0.2">
      <c r="A135" s="1" t="s">
        <v>1869</v>
      </c>
      <c r="C135" s="21"/>
      <c r="D135" s="21"/>
    </row>
    <row r="136" spans="1:8" x14ac:dyDescent="0.2">
      <c r="A136" s="1" t="s">
        <v>1870</v>
      </c>
      <c r="C136" s="21"/>
      <c r="D136" s="21"/>
    </row>
    <row r="137" spans="1:8" x14ac:dyDescent="0.2">
      <c r="A137" s="1" t="s">
        <v>1871</v>
      </c>
      <c r="C137" s="21"/>
      <c r="D137" s="21"/>
    </row>
    <row r="138" spans="1:8" x14ac:dyDescent="0.2">
      <c r="A138" s="1" t="s">
        <v>1872</v>
      </c>
    </row>
    <row r="140" spans="1:8" x14ac:dyDescent="0.2">
      <c r="A140" s="1" t="s">
        <v>78</v>
      </c>
    </row>
    <row r="141" spans="1:8" ht="17" thickBot="1" x14ac:dyDescent="0.25"/>
    <row r="142" spans="1:8" x14ac:dyDescent="0.2">
      <c r="A142" s="46" t="s">
        <v>1864</v>
      </c>
      <c r="B142" s="258"/>
      <c r="C142" s="258"/>
      <c r="D142" s="258"/>
      <c r="E142" s="258"/>
      <c r="F142" s="258"/>
      <c r="G142" s="258"/>
      <c r="H142" s="259"/>
    </row>
    <row r="143" spans="1:8" ht="17" thickBot="1" x14ac:dyDescent="0.25">
      <c r="A143" s="110" t="s">
        <v>1866</v>
      </c>
      <c r="B143" s="260"/>
      <c r="C143" s="260"/>
      <c r="D143" s="260"/>
      <c r="E143" s="260"/>
      <c r="F143" s="260"/>
      <c r="G143" s="260"/>
      <c r="H143" s="261"/>
    </row>
    <row r="144" spans="1:8" x14ac:dyDescent="0.2">
      <c r="A144" s="4"/>
      <c r="B144" s="262"/>
      <c r="C144" s="262"/>
      <c r="D144" s="262"/>
      <c r="E144" s="262"/>
      <c r="F144" s="262"/>
      <c r="G144" s="262"/>
      <c r="H144" s="262"/>
    </row>
    <row r="145" spans="1:8" x14ac:dyDescent="0.2">
      <c r="A145" s="1" t="s">
        <v>1894</v>
      </c>
    </row>
    <row r="146" spans="1:8" x14ac:dyDescent="0.2">
      <c r="A146" s="1" t="s">
        <v>1895</v>
      </c>
    </row>
    <row r="147" spans="1:8" x14ac:dyDescent="0.2">
      <c r="A147" s="1" t="s">
        <v>1940</v>
      </c>
    </row>
    <row r="148" spans="1:8" x14ac:dyDescent="0.2">
      <c r="D148" s="21" t="s">
        <v>1896</v>
      </c>
      <c r="E148" s="1" t="s">
        <v>1941</v>
      </c>
      <c r="F148" s="1"/>
      <c r="G148" s="1"/>
    </row>
    <row r="149" spans="1:8" x14ac:dyDescent="0.2">
      <c r="D149" s="21" t="s">
        <v>1897</v>
      </c>
      <c r="E149" s="1" t="s">
        <v>1942</v>
      </c>
      <c r="F149" s="1"/>
      <c r="G149" s="1"/>
    </row>
    <row r="150" spans="1:8" ht="17" thickBot="1" x14ac:dyDescent="0.25"/>
    <row r="151" spans="1:8" ht="17" thickBot="1" x14ac:dyDescent="0.25">
      <c r="A151" s="5" t="s">
        <v>1867</v>
      </c>
      <c r="B151" s="239"/>
      <c r="C151" s="239"/>
      <c r="D151" s="239"/>
      <c r="E151" s="239"/>
      <c r="F151" s="239"/>
      <c r="G151" s="239"/>
      <c r="H151" s="240"/>
    </row>
    <row r="153" spans="1:8" x14ac:dyDescent="0.2">
      <c r="B153" s="14" t="s">
        <v>1539</v>
      </c>
      <c r="C153" s="14" t="s">
        <v>1492</v>
      </c>
    </row>
    <row r="154" spans="1:8" x14ac:dyDescent="0.2">
      <c r="A154" s="14"/>
      <c r="B154" s="14" t="s">
        <v>1535</v>
      </c>
      <c r="C154" s="14" t="s">
        <v>262</v>
      </c>
      <c r="D154" s="14" t="s">
        <v>1250</v>
      </c>
    </row>
    <row r="155" spans="1:8" x14ac:dyDescent="0.2">
      <c r="A155" s="14" t="s">
        <v>71</v>
      </c>
      <c r="B155" s="14" t="s">
        <v>1896</v>
      </c>
      <c r="C155" s="14" t="s">
        <v>1897</v>
      </c>
      <c r="D155" s="14" t="s">
        <v>262</v>
      </c>
    </row>
    <row r="156" spans="1:8" x14ac:dyDescent="0.2">
      <c r="A156" s="14">
        <v>40</v>
      </c>
      <c r="B156" s="34">
        <f>IF(A156&lt;50,50-A156-20,-20)</f>
        <v>-10</v>
      </c>
      <c r="C156" s="34">
        <f>-IF(A156&lt;30,30-A156-5,-5)</f>
        <v>5</v>
      </c>
      <c r="D156" s="34">
        <f>B156+C156</f>
        <v>-5</v>
      </c>
    </row>
    <row r="157" spans="1:8" x14ac:dyDescent="0.2">
      <c r="A157" s="14">
        <f>A156+10</f>
        <v>50</v>
      </c>
      <c r="B157" s="34">
        <f t="shared" ref="B157:B167" si="4">IF(A157&lt;50,50-A157-20,-20)</f>
        <v>-20</v>
      </c>
      <c r="C157" s="34">
        <f t="shared" ref="C157:C167" si="5">-IF(A157&lt;30,30-A157-5,-5)</f>
        <v>5</v>
      </c>
      <c r="D157" s="34">
        <f t="shared" ref="D157:D167" si="6">B157+C157</f>
        <v>-15</v>
      </c>
    </row>
    <row r="158" spans="1:8" x14ac:dyDescent="0.2">
      <c r="A158" s="14">
        <f t="shared" ref="A158:A167" si="7">A157+10</f>
        <v>60</v>
      </c>
      <c r="B158" s="34">
        <f t="shared" si="4"/>
        <v>-20</v>
      </c>
      <c r="C158" s="34">
        <f t="shared" si="5"/>
        <v>5</v>
      </c>
      <c r="D158" s="34">
        <f t="shared" si="6"/>
        <v>-15</v>
      </c>
    </row>
    <row r="159" spans="1:8" x14ac:dyDescent="0.2">
      <c r="A159" s="14">
        <f t="shared" si="7"/>
        <v>70</v>
      </c>
      <c r="B159" s="34">
        <f t="shared" si="4"/>
        <v>-20</v>
      </c>
      <c r="C159" s="34">
        <f t="shared" si="5"/>
        <v>5</v>
      </c>
      <c r="D159" s="34">
        <f t="shared" si="6"/>
        <v>-15</v>
      </c>
    </row>
    <row r="160" spans="1:8" x14ac:dyDescent="0.2">
      <c r="A160" s="14">
        <f t="shared" si="7"/>
        <v>80</v>
      </c>
      <c r="B160" s="34">
        <f t="shared" si="4"/>
        <v>-20</v>
      </c>
      <c r="C160" s="34">
        <f t="shared" si="5"/>
        <v>5</v>
      </c>
      <c r="D160" s="34">
        <f t="shared" si="6"/>
        <v>-15</v>
      </c>
    </row>
    <row r="161" spans="1:8" x14ac:dyDescent="0.2">
      <c r="A161" s="14">
        <f t="shared" si="7"/>
        <v>90</v>
      </c>
      <c r="B161" s="34">
        <f t="shared" si="4"/>
        <v>-20</v>
      </c>
      <c r="C161" s="34">
        <f t="shared" si="5"/>
        <v>5</v>
      </c>
      <c r="D161" s="34">
        <f t="shared" si="6"/>
        <v>-15</v>
      </c>
    </row>
    <row r="162" spans="1:8" x14ac:dyDescent="0.2">
      <c r="A162" s="14">
        <f t="shared" si="7"/>
        <v>100</v>
      </c>
      <c r="B162" s="34">
        <f t="shared" si="4"/>
        <v>-20</v>
      </c>
      <c r="C162" s="34">
        <f t="shared" si="5"/>
        <v>5</v>
      </c>
      <c r="D162" s="34">
        <f t="shared" si="6"/>
        <v>-15</v>
      </c>
    </row>
    <row r="163" spans="1:8" x14ac:dyDescent="0.2">
      <c r="A163" s="14">
        <f t="shared" si="7"/>
        <v>110</v>
      </c>
      <c r="B163" s="34">
        <f t="shared" si="4"/>
        <v>-20</v>
      </c>
      <c r="C163" s="34">
        <f t="shared" si="5"/>
        <v>5</v>
      </c>
      <c r="D163" s="34">
        <f t="shared" si="6"/>
        <v>-15</v>
      </c>
    </row>
    <row r="164" spans="1:8" x14ac:dyDescent="0.2">
      <c r="A164" s="14">
        <f t="shared" si="7"/>
        <v>120</v>
      </c>
      <c r="B164" s="34">
        <f t="shared" si="4"/>
        <v>-20</v>
      </c>
      <c r="C164" s="34">
        <f t="shared" si="5"/>
        <v>5</v>
      </c>
      <c r="D164" s="34">
        <f t="shared" si="6"/>
        <v>-15</v>
      </c>
    </row>
    <row r="165" spans="1:8" x14ac:dyDescent="0.2">
      <c r="A165" s="14">
        <f t="shared" si="7"/>
        <v>130</v>
      </c>
      <c r="B165" s="34">
        <f t="shared" si="4"/>
        <v>-20</v>
      </c>
      <c r="C165" s="34">
        <f t="shared" si="5"/>
        <v>5</v>
      </c>
      <c r="D165" s="34">
        <f t="shared" si="6"/>
        <v>-15</v>
      </c>
    </row>
    <row r="166" spans="1:8" x14ac:dyDescent="0.2">
      <c r="A166" s="14">
        <f t="shared" si="7"/>
        <v>140</v>
      </c>
      <c r="B166" s="34">
        <f t="shared" si="4"/>
        <v>-20</v>
      </c>
      <c r="C166" s="34">
        <f t="shared" si="5"/>
        <v>5</v>
      </c>
      <c r="D166" s="34">
        <f t="shared" si="6"/>
        <v>-15</v>
      </c>
    </row>
    <row r="167" spans="1:8" x14ac:dyDescent="0.2">
      <c r="A167" s="14">
        <f t="shared" si="7"/>
        <v>150</v>
      </c>
      <c r="B167" s="34">
        <f t="shared" si="4"/>
        <v>-20</v>
      </c>
      <c r="C167" s="34">
        <f t="shared" si="5"/>
        <v>5</v>
      </c>
      <c r="D167" s="34">
        <f t="shared" si="6"/>
        <v>-15</v>
      </c>
    </row>
    <row r="168" spans="1:8" ht="17" thickBot="1" x14ac:dyDescent="0.25"/>
    <row r="169" spans="1:8" ht="17" thickBot="1" x14ac:dyDescent="0.25">
      <c r="A169" s="5" t="s">
        <v>1868</v>
      </c>
      <c r="B169" s="239"/>
      <c r="C169" s="239"/>
      <c r="D169" s="239"/>
      <c r="E169" s="239"/>
      <c r="F169" s="239"/>
      <c r="G169" s="239"/>
      <c r="H169" s="240"/>
    </row>
    <row r="171" spans="1:8" x14ac:dyDescent="0.2">
      <c r="A171" s="1" t="s">
        <v>1898</v>
      </c>
    </row>
    <row r="172" spans="1:8" x14ac:dyDescent="0.2">
      <c r="A172" s="1" t="s">
        <v>1899</v>
      </c>
    </row>
    <row r="173" spans="1:8" x14ac:dyDescent="0.2">
      <c r="A173" s="1" t="s">
        <v>1900</v>
      </c>
    </row>
    <row r="174" spans="1:8" x14ac:dyDescent="0.2">
      <c r="A174" s="1"/>
      <c r="B174" s="1"/>
      <c r="C174" s="1"/>
      <c r="D174" s="1"/>
      <c r="E174" s="1"/>
      <c r="F174" s="1"/>
      <c r="G174" s="1"/>
      <c r="H174" s="1"/>
    </row>
    <row r="175" spans="1:8" x14ac:dyDescent="0.2">
      <c r="A175" s="1"/>
      <c r="B175" s="1"/>
      <c r="C175" s="1"/>
      <c r="D175" s="1"/>
      <c r="E175" s="1" t="s">
        <v>262</v>
      </c>
      <c r="F175" s="1"/>
      <c r="G175" s="1"/>
      <c r="H175" s="1"/>
    </row>
    <row r="176" spans="1:8" x14ac:dyDescent="0.2">
      <c r="A176" s="1"/>
      <c r="B176" s="1"/>
      <c r="C176" s="1"/>
      <c r="D176" s="1"/>
      <c r="E176" s="1"/>
      <c r="F176" s="1"/>
      <c r="G176" s="1"/>
      <c r="H176" s="1"/>
    </row>
    <row r="177" spans="1:8" x14ac:dyDescent="0.2">
      <c r="A177" s="1"/>
      <c r="B177" s="1"/>
      <c r="C177" s="1"/>
      <c r="D177" s="1"/>
      <c r="E177" s="1"/>
      <c r="F177" s="1"/>
      <c r="G177" s="1"/>
      <c r="H177" s="1"/>
    </row>
    <row r="178" spans="1:8" x14ac:dyDescent="0.2">
      <c r="A178" s="1"/>
      <c r="B178" s="1"/>
      <c r="C178" s="1"/>
      <c r="D178" s="1"/>
      <c r="E178" s="1"/>
      <c r="F178" s="1"/>
      <c r="G178" s="1"/>
      <c r="H178" s="1"/>
    </row>
    <row r="179" spans="1:8" x14ac:dyDescent="0.2">
      <c r="A179" s="1"/>
      <c r="B179" s="1"/>
      <c r="C179" s="1"/>
      <c r="D179" s="1"/>
      <c r="E179" s="1"/>
      <c r="F179" s="1"/>
      <c r="G179" s="1"/>
      <c r="H179" s="1"/>
    </row>
    <row r="180" spans="1:8" x14ac:dyDescent="0.2">
      <c r="A180" s="1"/>
      <c r="B180" s="1"/>
      <c r="C180" s="1"/>
      <c r="D180" s="1"/>
      <c r="E180" s="1"/>
      <c r="F180" s="1"/>
      <c r="G180" s="1"/>
      <c r="H180" s="1"/>
    </row>
    <row r="181" spans="1:8" x14ac:dyDescent="0.2">
      <c r="A181" s="1"/>
      <c r="B181" s="1"/>
      <c r="C181" s="1"/>
      <c r="D181" s="1"/>
      <c r="E181" s="1"/>
      <c r="F181" s="1"/>
      <c r="G181" s="1"/>
      <c r="H181" s="1"/>
    </row>
    <row r="182" spans="1:8" x14ac:dyDescent="0.2">
      <c r="A182" s="1"/>
      <c r="B182" s="1"/>
      <c r="C182" s="1"/>
      <c r="D182" s="1"/>
      <c r="E182" s="1"/>
      <c r="F182" s="1"/>
      <c r="G182" s="1"/>
      <c r="H182" s="1"/>
    </row>
    <row r="183" spans="1:8" x14ac:dyDescent="0.2">
      <c r="A183" s="1" t="s">
        <v>71</v>
      </c>
      <c r="B183" s="1"/>
      <c r="C183" s="1"/>
      <c r="D183" s="1"/>
      <c r="E183" s="1"/>
      <c r="F183" s="1"/>
      <c r="G183" s="1"/>
      <c r="H183" s="1"/>
    </row>
    <row r="184" spans="1:8" x14ac:dyDescent="0.2">
      <c r="A184" s="1"/>
      <c r="B184" s="1"/>
      <c r="C184" s="1"/>
      <c r="D184" s="1"/>
      <c r="E184" s="1"/>
      <c r="F184" s="1"/>
      <c r="G184" s="1"/>
      <c r="H184" s="1"/>
    </row>
    <row r="185" spans="1:8" x14ac:dyDescent="0.2">
      <c r="A185" s="1"/>
      <c r="B185" s="1"/>
      <c r="C185" s="1"/>
      <c r="D185" s="1"/>
      <c r="E185" s="1"/>
      <c r="F185" s="1"/>
      <c r="G185" s="1"/>
      <c r="H185" s="1"/>
    </row>
    <row r="186" spans="1:8" x14ac:dyDescent="0.2">
      <c r="A186" s="1"/>
      <c r="B186" s="1"/>
      <c r="C186" s="1"/>
      <c r="D186" s="1"/>
      <c r="E186" s="1"/>
      <c r="F186" s="1"/>
      <c r="G186" s="1"/>
      <c r="H186" s="1"/>
    </row>
    <row r="187" spans="1:8" x14ac:dyDescent="0.2">
      <c r="A187" s="1"/>
      <c r="B187" s="1"/>
      <c r="C187" s="1"/>
      <c r="D187" s="1"/>
      <c r="E187" s="1"/>
      <c r="F187" s="1"/>
      <c r="G187" s="1"/>
      <c r="H187" s="1"/>
    </row>
    <row r="188" spans="1:8" x14ac:dyDescent="0.2">
      <c r="A188" s="1"/>
      <c r="B188" s="1"/>
      <c r="C188" s="1"/>
      <c r="D188" s="1"/>
      <c r="E188" s="1"/>
      <c r="F188" s="1"/>
      <c r="G188" s="1"/>
      <c r="H188" s="1"/>
    </row>
    <row r="189" spans="1:8" x14ac:dyDescent="0.2">
      <c r="A189" s="1"/>
      <c r="B189" s="1"/>
      <c r="C189" s="1"/>
      <c r="D189" s="1"/>
      <c r="E189" s="1"/>
      <c r="F189" s="1"/>
      <c r="G189" s="1"/>
      <c r="H189" s="1"/>
    </row>
    <row r="190" spans="1:8" x14ac:dyDescent="0.2">
      <c r="A190" s="1"/>
      <c r="B190" s="1"/>
      <c r="C190" s="1"/>
      <c r="D190" s="1"/>
      <c r="E190" s="1"/>
      <c r="F190" s="1"/>
      <c r="G190" s="1"/>
      <c r="H190" s="1"/>
    </row>
    <row r="191" spans="1:8" ht="17" thickBot="1" x14ac:dyDescent="0.25">
      <c r="A191" s="1"/>
      <c r="B191" s="1"/>
      <c r="C191" s="1"/>
      <c r="D191" s="1"/>
      <c r="E191" s="1"/>
      <c r="F191" s="1"/>
      <c r="G191" s="1"/>
      <c r="H191" s="1"/>
    </row>
    <row r="192" spans="1:8" s="1" customFormat="1" x14ac:dyDescent="0.2">
      <c r="A192" s="46" t="s">
        <v>1869</v>
      </c>
      <c r="B192" s="113"/>
      <c r="C192" s="113"/>
      <c r="D192" s="113"/>
      <c r="E192" s="113"/>
      <c r="F192" s="113"/>
      <c r="G192" s="113"/>
      <c r="H192" s="236"/>
    </row>
    <row r="193" spans="1:8" s="1" customFormat="1" ht="17" thickBot="1" x14ac:dyDescent="0.25">
      <c r="A193" s="110" t="s">
        <v>1870</v>
      </c>
      <c r="B193" s="115"/>
      <c r="C193" s="115"/>
      <c r="D193" s="115"/>
      <c r="E193" s="115"/>
      <c r="F193" s="115"/>
      <c r="G193" s="115"/>
      <c r="H193" s="238"/>
    </row>
    <row r="194" spans="1:8" s="1" customFormat="1" x14ac:dyDescent="0.2">
      <c r="A194" s="62" t="s">
        <v>1901</v>
      </c>
      <c r="B194" s="4"/>
      <c r="C194" s="4"/>
      <c r="D194" s="4"/>
      <c r="E194" s="4"/>
      <c r="F194" s="4"/>
      <c r="G194" s="4"/>
      <c r="H194" s="232"/>
    </row>
    <row r="195" spans="1:8" s="1" customFormat="1" x14ac:dyDescent="0.2">
      <c r="A195" s="62" t="s">
        <v>1902</v>
      </c>
      <c r="B195" s="4"/>
      <c r="C195" s="4"/>
      <c r="D195" s="4"/>
      <c r="E195" s="4"/>
      <c r="F195" s="4"/>
      <c r="G195" s="4"/>
      <c r="H195" s="232"/>
    </row>
    <row r="196" spans="1:8" s="1" customFormat="1" x14ac:dyDescent="0.2">
      <c r="A196" s="62" t="s">
        <v>1943</v>
      </c>
      <c r="B196" s="4"/>
      <c r="C196" s="4"/>
      <c r="D196" s="4"/>
      <c r="E196" s="4"/>
      <c r="F196" s="4"/>
      <c r="G196" s="4"/>
      <c r="H196" s="232"/>
    </row>
    <row r="197" spans="1:8" s="1" customFormat="1" x14ac:dyDescent="0.2">
      <c r="A197" s="62" t="s">
        <v>1903</v>
      </c>
      <c r="B197" s="4"/>
      <c r="C197" s="4"/>
      <c r="D197" s="4"/>
      <c r="E197" s="4"/>
      <c r="F197" s="4"/>
      <c r="G197" s="4"/>
      <c r="H197" s="232"/>
    </row>
    <row r="198" spans="1:8" s="1" customFormat="1" x14ac:dyDescent="0.2">
      <c r="A198" s="62" t="s">
        <v>1904</v>
      </c>
      <c r="B198" s="4"/>
      <c r="C198" s="4"/>
      <c r="D198" s="4"/>
      <c r="E198" s="4"/>
      <c r="F198" s="4"/>
      <c r="G198" s="4"/>
      <c r="H198" s="232"/>
    </row>
    <row r="199" spans="1:8" s="1" customFormat="1" x14ac:dyDescent="0.2">
      <c r="A199" s="62"/>
      <c r="B199" s="4"/>
      <c r="C199" s="4"/>
      <c r="D199" s="4"/>
      <c r="E199" s="4"/>
      <c r="F199" s="4"/>
      <c r="G199" s="4"/>
      <c r="H199" s="232"/>
    </row>
    <row r="200" spans="1:8" s="1" customFormat="1" x14ac:dyDescent="0.2">
      <c r="A200" s="62" t="s">
        <v>1945</v>
      </c>
      <c r="B200" s="4"/>
      <c r="C200" s="4"/>
      <c r="D200" s="4"/>
      <c r="E200" s="4"/>
      <c r="F200" s="4"/>
      <c r="G200" s="4"/>
      <c r="H200" s="232"/>
    </row>
    <row r="201" spans="1:8" s="1" customFormat="1" ht="17" thickBot="1" x14ac:dyDescent="0.25">
      <c r="A201" s="160"/>
      <c r="B201" s="4"/>
      <c r="C201" s="4"/>
      <c r="D201" s="4"/>
      <c r="E201" s="4"/>
      <c r="F201" s="4"/>
      <c r="G201" s="4"/>
      <c r="H201" s="232"/>
    </row>
    <row r="202" spans="1:8" s="1" customFormat="1" x14ac:dyDescent="0.2">
      <c r="A202" s="46" t="s">
        <v>1871</v>
      </c>
      <c r="B202" s="113"/>
      <c r="C202" s="113"/>
      <c r="D202" s="113"/>
      <c r="E202" s="113"/>
      <c r="F202" s="113"/>
      <c r="G202" s="113"/>
      <c r="H202" s="236"/>
    </row>
    <row r="203" spans="1:8" s="1" customFormat="1" ht="17" thickBot="1" x14ac:dyDescent="0.25">
      <c r="A203" s="110" t="s">
        <v>1872</v>
      </c>
      <c r="B203" s="115"/>
      <c r="C203" s="115"/>
      <c r="D203" s="115"/>
      <c r="E203" s="115"/>
      <c r="F203" s="115"/>
      <c r="G203" s="115"/>
      <c r="H203" s="238"/>
    </row>
    <row r="204" spans="1:8" s="1" customFormat="1" x14ac:dyDescent="0.2">
      <c r="A204" s="62" t="s">
        <v>1905</v>
      </c>
      <c r="B204" s="4"/>
      <c r="C204" s="4"/>
      <c r="D204" s="4"/>
      <c r="E204" s="4"/>
      <c r="F204" s="4"/>
      <c r="G204" s="4"/>
      <c r="H204" s="232"/>
    </row>
    <row r="205" spans="1:8" s="1" customFormat="1" x14ac:dyDescent="0.2">
      <c r="A205" s="62" t="s">
        <v>1946</v>
      </c>
      <c r="B205" s="4"/>
      <c r="C205" s="4"/>
      <c r="D205" s="4"/>
      <c r="E205" s="4"/>
      <c r="F205" s="4"/>
      <c r="G205" s="4"/>
      <c r="H205" s="232"/>
    </row>
    <row r="206" spans="1:8" s="1" customFormat="1" x14ac:dyDescent="0.2">
      <c r="A206" s="62" t="s">
        <v>1906</v>
      </c>
      <c r="B206" s="4"/>
      <c r="C206" s="4"/>
      <c r="D206" s="4"/>
      <c r="E206" s="4"/>
      <c r="F206" s="4"/>
      <c r="G206" s="4"/>
      <c r="H206" s="232"/>
    </row>
    <row r="207" spans="1:8" s="1" customFormat="1" x14ac:dyDescent="0.2">
      <c r="A207" s="62" t="s">
        <v>1907</v>
      </c>
      <c r="B207" s="4"/>
      <c r="C207" s="4"/>
      <c r="D207" s="4"/>
      <c r="E207" s="4"/>
      <c r="F207" s="4"/>
      <c r="G207" s="4"/>
      <c r="H207" s="232"/>
    </row>
    <row r="208" spans="1:8" s="1" customFormat="1" x14ac:dyDescent="0.2">
      <c r="A208" s="160"/>
      <c r="B208" s="4"/>
      <c r="C208" s="4"/>
      <c r="D208" s="4"/>
      <c r="E208" s="4"/>
      <c r="F208" s="4"/>
      <c r="G208" s="4"/>
      <c r="H208" s="232"/>
    </row>
    <row r="209" spans="1:8" s="1" customFormat="1" x14ac:dyDescent="0.2">
      <c r="A209" s="117" t="s">
        <v>645</v>
      </c>
      <c r="B209" s="117"/>
      <c r="C209" s="117"/>
      <c r="D209" s="117"/>
      <c r="E209" s="117" t="s">
        <v>1875</v>
      </c>
      <c r="F209" s="117"/>
      <c r="G209" s="117"/>
      <c r="H209" s="117"/>
    </row>
    <row r="210" spans="1:8" s="1" customFormat="1" x14ac:dyDescent="0.2">
      <c r="A210" s="1" t="s">
        <v>732</v>
      </c>
    </row>
    <row r="211" spans="1:8" s="1" customFormat="1" x14ac:dyDescent="0.2">
      <c r="A211" s="1" t="s">
        <v>733</v>
      </c>
    </row>
    <row r="212" spans="1:8" s="1" customFormat="1" x14ac:dyDescent="0.2">
      <c r="A212" s="1" t="s">
        <v>734</v>
      </c>
    </row>
    <row r="213" spans="1:8" s="1" customFormat="1" x14ac:dyDescent="0.2">
      <c r="A213" s="1" t="s">
        <v>738</v>
      </c>
      <c r="G213" s="13"/>
    </row>
    <row r="214" spans="1:8" s="1" customFormat="1" x14ac:dyDescent="0.2">
      <c r="A214" s="1" t="s">
        <v>735</v>
      </c>
      <c r="G214" s="13"/>
    </row>
    <row r="215" spans="1:8" s="1" customFormat="1" x14ac:dyDescent="0.2">
      <c r="G215" s="13"/>
    </row>
    <row r="216" spans="1:8" s="1" customFormat="1" x14ac:dyDescent="0.2">
      <c r="C216" s="119" t="s">
        <v>368</v>
      </c>
      <c r="D216" s="119" t="s">
        <v>514</v>
      </c>
    </row>
    <row r="217" spans="1:8" s="1" customFormat="1" x14ac:dyDescent="0.2">
      <c r="C217" s="120" t="s">
        <v>736</v>
      </c>
      <c r="D217" s="120">
        <v>100</v>
      </c>
    </row>
    <row r="218" spans="1:8" s="1" customFormat="1" x14ac:dyDescent="0.2">
      <c r="C218" s="120" t="s">
        <v>737</v>
      </c>
      <c r="D218" s="120">
        <v>300</v>
      </c>
    </row>
    <row r="219" spans="1:8" x14ac:dyDescent="0.2">
      <c r="C219" s="21" t="s">
        <v>739</v>
      </c>
      <c r="D219" s="21">
        <v>400</v>
      </c>
    </row>
    <row r="220" spans="1:8" x14ac:dyDescent="0.2">
      <c r="C220" s="21" t="s">
        <v>740</v>
      </c>
      <c r="D220" s="21">
        <v>800</v>
      </c>
    </row>
    <row r="222" spans="1:8" x14ac:dyDescent="0.2">
      <c r="A222" s="1" t="s">
        <v>741</v>
      </c>
    </row>
    <row r="223" spans="1:8" x14ac:dyDescent="0.2">
      <c r="A223" s="1" t="s">
        <v>742</v>
      </c>
    </row>
    <row r="224" spans="1:8" x14ac:dyDescent="0.2">
      <c r="A224" s="1" t="s">
        <v>743</v>
      </c>
    </row>
    <row r="225" spans="1:8" x14ac:dyDescent="0.2">
      <c r="A225" s="13" t="s">
        <v>1858</v>
      </c>
    </row>
    <row r="226" spans="1:8" x14ac:dyDescent="0.2">
      <c r="A226" s="13" t="s">
        <v>1859</v>
      </c>
    </row>
    <row r="227" spans="1:8" x14ac:dyDescent="0.2">
      <c r="A227" s="1" t="s">
        <v>744</v>
      </c>
    </row>
    <row r="228" spans="1:8" x14ac:dyDescent="0.2">
      <c r="A228" s="1" t="s">
        <v>745</v>
      </c>
    </row>
    <row r="229" spans="1:8" ht="17" thickBot="1" x14ac:dyDescent="0.25"/>
    <row r="230" spans="1:8" ht="17" thickBot="1" x14ac:dyDescent="0.25">
      <c r="A230" s="5" t="s">
        <v>78</v>
      </c>
      <c r="B230" s="254"/>
      <c r="C230" s="254"/>
      <c r="D230" s="254"/>
      <c r="E230" s="254"/>
      <c r="F230" s="254"/>
      <c r="G230" s="254"/>
      <c r="H230" s="255"/>
    </row>
    <row r="232" spans="1:8" x14ac:dyDescent="0.2">
      <c r="A232" s="1" t="s">
        <v>759</v>
      </c>
    </row>
    <row r="233" spans="1:8" x14ac:dyDescent="0.2">
      <c r="A233" s="1" t="s">
        <v>757</v>
      </c>
    </row>
    <row r="234" spans="1:8" x14ac:dyDescent="0.2">
      <c r="A234" s="1" t="s">
        <v>758</v>
      </c>
    </row>
    <row r="235" spans="1:8" x14ac:dyDescent="0.2">
      <c r="A235" s="1" t="s">
        <v>760</v>
      </c>
    </row>
    <row r="236" spans="1:8" x14ac:dyDescent="0.2">
      <c r="A236" s="1" t="s">
        <v>761</v>
      </c>
    </row>
    <row r="237" spans="1:8" x14ac:dyDescent="0.2">
      <c r="A237" s="1" t="s">
        <v>762</v>
      </c>
    </row>
    <row r="238" spans="1:8" x14ac:dyDescent="0.2">
      <c r="A238" s="1" t="s">
        <v>763</v>
      </c>
    </row>
    <row r="240" spans="1:8" x14ac:dyDescent="0.2">
      <c r="A240" s="1" t="s">
        <v>774</v>
      </c>
    </row>
    <row r="241" spans="1:10" x14ac:dyDescent="0.2">
      <c r="A241" s="1" t="s">
        <v>764</v>
      </c>
    </row>
    <row r="242" spans="1:10" x14ac:dyDescent="0.2">
      <c r="A242" s="1" t="s">
        <v>765</v>
      </c>
    </row>
    <row r="243" spans="1:10" x14ac:dyDescent="0.2">
      <c r="A243" s="1" t="s">
        <v>766</v>
      </c>
    </row>
    <row r="244" spans="1:10" x14ac:dyDescent="0.2">
      <c r="A244" s="1" t="s">
        <v>767</v>
      </c>
    </row>
    <row r="245" spans="1:10" x14ac:dyDescent="0.2">
      <c r="A245" s="1" t="s">
        <v>768</v>
      </c>
      <c r="B245" s="1"/>
      <c r="C245" s="1"/>
      <c r="D245" s="1"/>
      <c r="E245" s="1"/>
      <c r="F245" s="1"/>
      <c r="G245" s="1"/>
      <c r="H245" s="1"/>
    </row>
    <row r="246" spans="1:10" x14ac:dyDescent="0.2">
      <c r="A246" s="1"/>
      <c r="B246" s="1" t="s">
        <v>769</v>
      </c>
      <c r="C246" s="1"/>
      <c r="D246" s="1">
        <f>1820*100-300</f>
        <v>181700</v>
      </c>
      <c r="E246" s="1"/>
      <c r="F246" s="1" t="s">
        <v>770</v>
      </c>
      <c r="G246" s="1"/>
      <c r="H246" s="1"/>
    </row>
    <row r="247" spans="1:10" x14ac:dyDescent="0.2">
      <c r="A247" s="1"/>
      <c r="B247" s="1" t="s">
        <v>771</v>
      </c>
      <c r="C247" s="1"/>
      <c r="D247" s="1">
        <f>(1750*100-100)*-1</f>
        <v>-174900</v>
      </c>
      <c r="E247" s="1"/>
      <c r="F247" s="121" t="s">
        <v>772</v>
      </c>
      <c r="G247" s="1"/>
      <c r="H247" s="1"/>
    </row>
    <row r="248" spans="1:10" x14ac:dyDescent="0.2">
      <c r="A248" s="1"/>
      <c r="B248" s="1" t="s">
        <v>773</v>
      </c>
      <c r="C248" s="1"/>
      <c r="D248" s="1">
        <f>D246+D247</f>
        <v>6800</v>
      </c>
      <c r="E248" s="1"/>
      <c r="F248" s="1"/>
      <c r="G248" s="1"/>
      <c r="H248" s="1"/>
    </row>
    <row r="249" spans="1:10" x14ac:dyDescent="0.2">
      <c r="A249" s="1"/>
    </row>
    <row r="250" spans="1:10" x14ac:dyDescent="0.2">
      <c r="A250" s="1" t="s">
        <v>780</v>
      </c>
      <c r="B250" s="1"/>
      <c r="C250" s="1"/>
      <c r="D250" s="1"/>
      <c r="E250" s="1" t="s">
        <v>262</v>
      </c>
      <c r="F250" s="1"/>
      <c r="G250" s="1"/>
      <c r="H250" s="1"/>
      <c r="I250" s="1"/>
      <c r="J250" s="1"/>
    </row>
    <row r="251" spans="1:10" x14ac:dyDescent="0.2">
      <c r="A251" s="1" t="s">
        <v>779</v>
      </c>
      <c r="B251" s="1"/>
      <c r="C251" s="1"/>
      <c r="D251" s="1"/>
      <c r="E251" s="1"/>
      <c r="F251" s="1"/>
      <c r="G251" s="1"/>
      <c r="H251" s="1"/>
      <c r="I251" s="1"/>
      <c r="J251" s="1"/>
    </row>
    <row r="252" spans="1:10" x14ac:dyDescent="0.2">
      <c r="A252" s="1"/>
      <c r="B252" s="1"/>
      <c r="C252" s="1"/>
      <c r="D252" s="1"/>
      <c r="E252" s="1"/>
      <c r="F252" s="1">
        <v>6800</v>
      </c>
      <c r="G252" s="1"/>
      <c r="H252" s="1"/>
      <c r="I252" s="1" t="s">
        <v>794</v>
      </c>
      <c r="J252" s="1"/>
    </row>
    <row r="253" spans="1:10" x14ac:dyDescent="0.2">
      <c r="A253" s="1"/>
      <c r="B253" s="1"/>
      <c r="C253" s="1"/>
      <c r="D253" s="1"/>
      <c r="E253" s="1"/>
      <c r="F253" s="1"/>
      <c r="G253" s="1"/>
      <c r="H253" s="1"/>
      <c r="I253" s="1" t="s">
        <v>795</v>
      </c>
      <c r="J253" s="1"/>
    </row>
    <row r="254" spans="1:10" x14ac:dyDescent="0.2">
      <c r="A254" s="1"/>
      <c r="B254" s="1"/>
      <c r="C254" s="1"/>
      <c r="D254" s="1"/>
      <c r="E254" s="1"/>
      <c r="F254" s="1"/>
      <c r="G254" s="1"/>
      <c r="H254" s="1"/>
      <c r="I254" s="1" t="s">
        <v>796</v>
      </c>
      <c r="J254" s="1"/>
    </row>
    <row r="255" spans="1:10" x14ac:dyDescent="0.2">
      <c r="A255" s="1"/>
      <c r="B255" s="1"/>
      <c r="C255" s="1"/>
      <c r="D255" s="1"/>
      <c r="E255" s="1"/>
      <c r="F255" s="1"/>
      <c r="G255" s="1"/>
      <c r="H255" s="1"/>
      <c r="I255" s="1"/>
      <c r="J255" s="1"/>
    </row>
    <row r="256" spans="1:10" x14ac:dyDescent="0.2">
      <c r="A256" s="1"/>
      <c r="B256" s="1"/>
      <c r="C256" s="21" t="s">
        <v>71</v>
      </c>
      <c r="D256" s="1"/>
      <c r="E256" s="1"/>
      <c r="F256" s="1"/>
      <c r="G256" s="1"/>
      <c r="H256" s="1"/>
      <c r="I256" s="1" t="s">
        <v>797</v>
      </c>
      <c r="J256" s="1"/>
    </row>
    <row r="257" spans="1:10" x14ac:dyDescent="0.2">
      <c r="A257" s="1"/>
      <c r="B257" s="1"/>
      <c r="C257" s="1"/>
      <c r="D257" s="1"/>
      <c r="E257" s="1"/>
      <c r="F257" s="1"/>
      <c r="G257" s="1"/>
      <c r="H257" s="1"/>
      <c r="I257" s="1" t="s">
        <v>795</v>
      </c>
      <c r="J257" s="1"/>
    </row>
    <row r="258" spans="1:10" x14ac:dyDescent="0.2">
      <c r="A258" s="1"/>
      <c r="B258" s="1"/>
      <c r="C258" s="1"/>
      <c r="D258" s="1"/>
      <c r="E258" s="1"/>
      <c r="F258" s="1">
        <v>-200</v>
      </c>
      <c r="G258" s="1"/>
      <c r="H258" s="1"/>
      <c r="I258" s="1" t="s">
        <v>798</v>
      </c>
      <c r="J258" s="1"/>
    </row>
    <row r="259" spans="1:10" x14ac:dyDescent="0.2">
      <c r="A259" s="1"/>
      <c r="B259" s="1"/>
      <c r="C259" s="1"/>
      <c r="D259" s="1"/>
      <c r="E259" s="1"/>
      <c r="F259" s="1"/>
      <c r="G259" s="1"/>
      <c r="H259" s="1"/>
      <c r="I259" s="1"/>
      <c r="J259" s="1"/>
    </row>
    <row r="260" spans="1:10" x14ac:dyDescent="0.2">
      <c r="A260" s="1"/>
      <c r="B260" s="1"/>
      <c r="C260" s="1"/>
      <c r="D260" s="1"/>
      <c r="E260" s="1"/>
      <c r="F260" s="1"/>
      <c r="G260" s="1"/>
      <c r="H260" s="1"/>
      <c r="I260" s="1" t="s">
        <v>799</v>
      </c>
      <c r="J260" s="1"/>
    </row>
    <row r="261" spans="1:10" x14ac:dyDescent="0.2">
      <c r="A261" s="1"/>
      <c r="B261" s="1"/>
      <c r="C261" s="1"/>
      <c r="D261" s="1"/>
      <c r="E261" s="1"/>
      <c r="F261" s="1"/>
      <c r="G261" s="1"/>
      <c r="H261" s="1"/>
      <c r="I261" s="1" t="s">
        <v>800</v>
      </c>
      <c r="J261" s="1">
        <f>1750+68</f>
        <v>1818</v>
      </c>
    </row>
    <row r="263" spans="1:10" x14ac:dyDescent="0.2">
      <c r="A263" s="1" t="s">
        <v>778</v>
      </c>
    </row>
    <row r="264" spans="1:10" x14ac:dyDescent="0.2">
      <c r="A264" s="1" t="s">
        <v>775</v>
      </c>
    </row>
    <row r="265" spans="1:10" x14ac:dyDescent="0.2">
      <c r="A265" s="1" t="s">
        <v>776</v>
      </c>
    </row>
    <row r="266" spans="1:10" x14ac:dyDescent="0.2">
      <c r="A266" s="1" t="s">
        <v>777</v>
      </c>
    </row>
    <row r="269" spans="1:10" s="1" customFormat="1" x14ac:dyDescent="0.2">
      <c r="A269" s="117" t="s">
        <v>647</v>
      </c>
      <c r="B269" s="117"/>
      <c r="C269" s="117"/>
      <c r="D269" s="117"/>
      <c r="E269" s="117"/>
      <c r="F269" s="117"/>
      <c r="G269" s="117" t="s">
        <v>746</v>
      </c>
      <c r="H269" s="117"/>
    </row>
    <row r="270" spans="1:10" s="1" customFormat="1" x14ac:dyDescent="0.2">
      <c r="A270" s="1" t="s">
        <v>747</v>
      </c>
      <c r="G270" s="13"/>
    </row>
    <row r="271" spans="1:10" s="1" customFormat="1" x14ac:dyDescent="0.2">
      <c r="G271" s="13"/>
    </row>
    <row r="272" spans="1:10" s="1" customFormat="1" x14ac:dyDescent="0.2">
      <c r="A272" s="1" t="s">
        <v>741</v>
      </c>
      <c r="G272" s="13"/>
    </row>
    <row r="273" spans="1:8" s="1" customFormat="1" x14ac:dyDescent="0.2">
      <c r="A273" s="1" t="s">
        <v>1854</v>
      </c>
    </row>
    <row r="274" spans="1:8" s="1" customFormat="1" x14ac:dyDescent="0.2">
      <c r="A274" s="1" t="s">
        <v>748</v>
      </c>
    </row>
    <row r="275" spans="1:8" s="1" customFormat="1" x14ac:dyDescent="0.2"/>
    <row r="276" spans="1:8" s="1" customFormat="1" x14ac:dyDescent="0.2">
      <c r="A276" s="21" t="s">
        <v>716</v>
      </c>
      <c r="B276" s="1" t="s">
        <v>749</v>
      </c>
    </row>
    <row r="277" spans="1:8" s="1" customFormat="1" x14ac:dyDescent="0.2">
      <c r="B277" s="1" t="s">
        <v>750</v>
      </c>
    </row>
    <row r="278" spans="1:8" s="1" customFormat="1" x14ac:dyDescent="0.2"/>
    <row r="279" spans="1:8" s="1" customFormat="1" x14ac:dyDescent="0.2">
      <c r="A279" s="4" t="s">
        <v>78</v>
      </c>
    </row>
    <row r="280" spans="1:8" s="1" customFormat="1" ht="17" thickBot="1" x14ac:dyDescent="0.25"/>
    <row r="281" spans="1:8" s="1" customFormat="1" ht="17" thickBot="1" x14ac:dyDescent="0.25">
      <c r="A281" s="256" t="s">
        <v>1854</v>
      </c>
      <c r="B281" s="6"/>
      <c r="C281" s="6"/>
      <c r="D281" s="6"/>
      <c r="E281" s="6"/>
      <c r="F281" s="6"/>
      <c r="G281" s="6"/>
      <c r="H281" s="7"/>
    </row>
    <row r="282" spans="1:8" s="1" customFormat="1" x14ac:dyDescent="0.2"/>
    <row r="283" spans="1:8" s="1" customFormat="1" x14ac:dyDescent="0.2">
      <c r="A283" s="1" t="s">
        <v>1877</v>
      </c>
    </row>
    <row r="284" spans="1:8" s="1" customFormat="1" x14ac:dyDescent="0.2">
      <c r="A284" s="1" t="s">
        <v>1878</v>
      </c>
    </row>
    <row r="285" spans="1:8" s="1" customFormat="1" x14ac:dyDescent="0.2"/>
    <row r="286" spans="1:8" s="1" customFormat="1" x14ac:dyDescent="0.2"/>
    <row r="287" spans="1:8" s="1" customFormat="1" x14ac:dyDescent="0.2">
      <c r="F287" s="1" t="s">
        <v>262</v>
      </c>
    </row>
    <row r="288" spans="1:8" s="1" customFormat="1" x14ac:dyDescent="0.2"/>
    <row r="289" spans="1:8" s="1" customFormat="1" x14ac:dyDescent="0.2"/>
    <row r="290" spans="1:8" s="1" customFormat="1" x14ac:dyDescent="0.2"/>
    <row r="291" spans="1:8" s="1" customFormat="1" x14ac:dyDescent="0.2"/>
    <row r="292" spans="1:8" s="1" customFormat="1" x14ac:dyDescent="0.2"/>
    <row r="293" spans="1:8" s="1" customFormat="1" x14ac:dyDescent="0.2"/>
    <row r="294" spans="1:8" s="1" customFormat="1" x14ac:dyDescent="0.2">
      <c r="C294" s="1" t="s">
        <v>71</v>
      </c>
    </row>
    <row r="295" spans="1:8" s="1" customFormat="1" x14ac:dyDescent="0.2"/>
    <row r="296" spans="1:8" s="1" customFormat="1" x14ac:dyDescent="0.2"/>
    <row r="297" spans="1:8" s="1" customFormat="1" x14ac:dyDescent="0.2"/>
    <row r="298" spans="1:8" s="1" customFormat="1" x14ac:dyDescent="0.2"/>
    <row r="299" spans="1:8" s="1" customFormat="1" ht="17" thickBot="1" x14ac:dyDescent="0.25"/>
    <row r="300" spans="1:8" s="1" customFormat="1" ht="17" thickBot="1" x14ac:dyDescent="0.25">
      <c r="A300" s="256" t="s">
        <v>748</v>
      </c>
      <c r="B300" s="6"/>
      <c r="C300" s="6"/>
      <c r="D300" s="6"/>
      <c r="E300" s="6"/>
      <c r="F300" s="6"/>
      <c r="G300" s="6"/>
      <c r="H300" s="7"/>
    </row>
    <row r="301" spans="1:8" s="1" customFormat="1" x14ac:dyDescent="0.2">
      <c r="A301" s="1" t="s">
        <v>1879</v>
      </c>
    </row>
    <row r="302" spans="1:8" s="1" customFormat="1" x14ac:dyDescent="0.2">
      <c r="A302" s="1" t="s">
        <v>1880</v>
      </c>
    </row>
    <row r="303" spans="1:8" s="1" customFormat="1" x14ac:dyDescent="0.2">
      <c r="A303" s="1" t="s">
        <v>1881</v>
      </c>
    </row>
    <row r="304" spans="1:8" s="1" customFormat="1" x14ac:dyDescent="0.2">
      <c r="A304" s="1" t="s">
        <v>1882</v>
      </c>
    </row>
    <row r="305" spans="1:8" s="1" customFormat="1" x14ac:dyDescent="0.2"/>
    <row r="306" spans="1:8" s="1" customFormat="1" x14ac:dyDescent="0.2"/>
    <row r="307" spans="1:8" s="1" customFormat="1" x14ac:dyDescent="0.2"/>
    <row r="308" spans="1:8" s="1" customFormat="1" x14ac:dyDescent="0.2">
      <c r="A308" s="117" t="s">
        <v>647</v>
      </c>
      <c r="B308" s="117"/>
      <c r="C308" s="117"/>
      <c r="D308" s="117"/>
      <c r="E308" s="117"/>
      <c r="F308" s="117"/>
      <c r="G308" s="117" t="s">
        <v>751</v>
      </c>
      <c r="H308" s="117"/>
    </row>
    <row r="309" spans="1:8" s="1" customFormat="1" x14ac:dyDescent="0.2">
      <c r="A309" s="1" t="s">
        <v>752</v>
      </c>
    </row>
    <row r="310" spans="1:8" s="1" customFormat="1" x14ac:dyDescent="0.2">
      <c r="A310" s="1" t="s">
        <v>753</v>
      </c>
    </row>
    <row r="311" spans="1:8" s="1" customFormat="1" x14ac:dyDescent="0.2">
      <c r="A311" s="1" t="s">
        <v>741</v>
      </c>
      <c r="G311" s="13"/>
    </row>
    <row r="312" spans="1:8" s="1" customFormat="1" x14ac:dyDescent="0.2">
      <c r="A312" s="1" t="s">
        <v>754</v>
      </c>
      <c r="G312" s="13"/>
    </row>
    <row r="313" spans="1:8" s="1" customFormat="1" x14ac:dyDescent="0.2">
      <c r="A313" s="1" t="s">
        <v>755</v>
      </c>
    </row>
    <row r="314" spans="1:8" s="1" customFormat="1" x14ac:dyDescent="0.2">
      <c r="A314" s="1" t="s">
        <v>756</v>
      </c>
    </row>
    <row r="315" spans="1:8" s="1" customFormat="1" x14ac:dyDescent="0.2"/>
    <row r="316" spans="1:8" s="1" customFormat="1" x14ac:dyDescent="0.2">
      <c r="A316" s="4" t="s">
        <v>78</v>
      </c>
    </row>
    <row r="317" spans="1:8" s="1" customFormat="1" x14ac:dyDescent="0.2"/>
    <row r="318" spans="1:8" s="1" customFormat="1" x14ac:dyDescent="0.2">
      <c r="A318" s="1" t="s">
        <v>781</v>
      </c>
      <c r="B318" s="1" t="s">
        <v>782</v>
      </c>
      <c r="E318" s="1">
        <f>-((1760-1750)*100-2000)</f>
        <v>1000</v>
      </c>
      <c r="H318" s="1" t="str">
        <f ca="1">_xlfn.FORMULATEXT(E318)</f>
        <v>=-((1760-1750)*100-2000)</v>
      </c>
    </row>
    <row r="319" spans="1:8" s="1" customFormat="1" x14ac:dyDescent="0.2">
      <c r="B319" s="1" t="s">
        <v>783</v>
      </c>
      <c r="E319" s="1">
        <f>800</f>
        <v>800</v>
      </c>
      <c r="F319" s="1" t="s">
        <v>786</v>
      </c>
    </row>
    <row r="320" spans="1:8" s="1" customFormat="1" x14ac:dyDescent="0.2">
      <c r="B320" s="1" t="s">
        <v>785</v>
      </c>
      <c r="E320" s="1">
        <f>E318+E319</f>
        <v>1800</v>
      </c>
    </row>
    <row r="321" spans="1:8" s="1" customFormat="1" x14ac:dyDescent="0.2"/>
    <row r="322" spans="1:8" s="1" customFormat="1" x14ac:dyDescent="0.2">
      <c r="A322" s="1" t="s">
        <v>784</v>
      </c>
      <c r="B322" s="1" t="s">
        <v>782</v>
      </c>
      <c r="E322" s="1">
        <v>2000</v>
      </c>
      <c r="F322" s="1" t="s">
        <v>786</v>
      </c>
    </row>
    <row r="323" spans="1:8" s="1" customFormat="1" x14ac:dyDescent="0.2">
      <c r="B323" s="1" t="s">
        <v>783</v>
      </c>
      <c r="E323" s="1">
        <f>-((1750-1710)*100-800)</f>
        <v>-3200</v>
      </c>
      <c r="H323" s="1" t="str">
        <f ca="1">_xlfn.FORMULATEXT(E323)</f>
        <v>=-((1750-1710)*100-800)</v>
      </c>
    </row>
    <row r="324" spans="1:8" s="1" customFormat="1" x14ac:dyDescent="0.2">
      <c r="B324" s="1" t="s">
        <v>787</v>
      </c>
      <c r="E324" s="1">
        <f>E322+E323</f>
        <v>-1200</v>
      </c>
    </row>
    <row r="325" spans="1:8" s="1" customFormat="1" x14ac:dyDescent="0.2"/>
    <row r="326" spans="1:8" s="1" customFormat="1" x14ac:dyDescent="0.2">
      <c r="A326" s="1" t="s">
        <v>788</v>
      </c>
      <c r="B326" s="1" t="s">
        <v>789</v>
      </c>
    </row>
    <row r="327" spans="1:8" s="1" customFormat="1" x14ac:dyDescent="0.2">
      <c r="B327" s="1" t="s">
        <v>790</v>
      </c>
    </row>
    <row r="328" spans="1:8" s="1" customFormat="1" x14ac:dyDescent="0.2">
      <c r="B328" s="1" t="s">
        <v>791</v>
      </c>
    </row>
    <row r="329" spans="1:8" s="1" customFormat="1" x14ac:dyDescent="0.2">
      <c r="B329" s="1" t="s">
        <v>792</v>
      </c>
    </row>
    <row r="330" spans="1:8" s="1" customFormat="1" x14ac:dyDescent="0.2">
      <c r="B330" s="1" t="s">
        <v>793</v>
      </c>
    </row>
    <row r="331" spans="1:8" s="1" customFormat="1" x14ac:dyDescent="0.2"/>
  </sheetData>
  <mergeCells count="2">
    <mergeCell ref="A12:H12"/>
    <mergeCell ref="E105:F105"/>
  </mergeCells>
  <pageMargins left="0.7" right="0.7" top="0.75" bottom="0.75" header="0.3" footer="0.3"/>
  <pageSetup paperSize="9" scale="95" orientation="portrait" horizontalDpi="0" verticalDpi="0"/>
  <rowBreaks count="2" manualBreakCount="2">
    <brk id="208" max="7" man="1"/>
    <brk id="307" max="7" man="1"/>
  </rowBreaks>
  <colBreaks count="1" manualBreakCount="1">
    <brk id="8" max="1048575" man="1"/>
  </colBreaks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34F253-1483-7649-9C9E-CAD694507794}">
  <dimension ref="A10:I98"/>
  <sheetViews>
    <sheetView rightToLeft="1" tabSelected="1" topLeftCell="A65" zoomScale="260" workbookViewId="0">
      <selection activeCell="B74" sqref="B74"/>
    </sheetView>
  </sheetViews>
  <sheetFormatPr baseColWidth="10" defaultRowHeight="16" x14ac:dyDescent="0.2"/>
  <cols>
    <col min="1" max="1" width="10.83203125" style="1"/>
    <col min="2" max="2" width="13.83203125" style="1" customWidth="1"/>
    <col min="3" max="16384" width="10.83203125" style="1"/>
  </cols>
  <sheetData>
    <row r="10" spans="1:9" x14ac:dyDescent="0.2">
      <c r="A10" s="21"/>
      <c r="B10" s="21" t="s">
        <v>262</v>
      </c>
      <c r="C10" s="21" t="s">
        <v>262</v>
      </c>
      <c r="D10" s="21"/>
      <c r="I10" s="21" t="s">
        <v>262</v>
      </c>
    </row>
    <row r="11" spans="1:9" x14ac:dyDescent="0.2">
      <c r="A11" s="21"/>
      <c r="B11" s="21" t="s">
        <v>1754</v>
      </c>
      <c r="C11" s="21" t="s">
        <v>2596</v>
      </c>
      <c r="D11" s="21"/>
      <c r="I11" s="21"/>
    </row>
    <row r="12" spans="1:9" x14ac:dyDescent="0.2">
      <c r="A12" s="21" t="s">
        <v>872</v>
      </c>
      <c r="B12" s="21" t="s">
        <v>2594</v>
      </c>
      <c r="C12" s="21" t="s">
        <v>2594</v>
      </c>
      <c r="D12" s="21" t="s">
        <v>1250</v>
      </c>
      <c r="I12" s="21"/>
    </row>
    <row r="13" spans="1:9" x14ac:dyDescent="0.2">
      <c r="A13" s="21" t="s">
        <v>71</v>
      </c>
      <c r="B13" s="21" t="s">
        <v>2595</v>
      </c>
      <c r="C13" s="21" t="s">
        <v>2597</v>
      </c>
      <c r="D13" s="21" t="s">
        <v>262</v>
      </c>
      <c r="I13" s="21"/>
    </row>
    <row r="14" spans="1:9" x14ac:dyDescent="0.2">
      <c r="A14" s="21">
        <v>0</v>
      </c>
      <c r="B14" s="21">
        <v>-22</v>
      </c>
      <c r="C14" s="21">
        <f>40-0-17</f>
        <v>23</v>
      </c>
      <c r="D14" s="21">
        <f>SUM(B14:C14)</f>
        <v>1</v>
      </c>
      <c r="I14" s="21"/>
    </row>
    <row r="15" spans="1:9" x14ac:dyDescent="0.2">
      <c r="A15" s="21">
        <v>10</v>
      </c>
      <c r="B15" s="21">
        <v>-22</v>
      </c>
      <c r="C15" s="21">
        <f>40-10-17</f>
        <v>13</v>
      </c>
      <c r="D15" s="21">
        <f t="shared" ref="D15:D24" si="0">SUM(B15:C15)</f>
        <v>-9</v>
      </c>
      <c r="I15" s="21"/>
    </row>
    <row r="16" spans="1:9" x14ac:dyDescent="0.2">
      <c r="A16" s="21">
        <v>20</v>
      </c>
      <c r="B16" s="21">
        <v>-22</v>
      </c>
      <c r="C16" s="21">
        <f>40-20-17</f>
        <v>3</v>
      </c>
      <c r="D16" s="21">
        <f t="shared" si="0"/>
        <v>-19</v>
      </c>
      <c r="I16" s="21"/>
    </row>
    <row r="17" spans="1:9" x14ac:dyDescent="0.2">
      <c r="A17" s="21">
        <v>30</v>
      </c>
      <c r="B17" s="21">
        <v>-22</v>
      </c>
      <c r="C17" s="21">
        <f>40-30-17</f>
        <v>-7</v>
      </c>
      <c r="D17" s="21">
        <f t="shared" si="0"/>
        <v>-29</v>
      </c>
      <c r="I17" s="21"/>
    </row>
    <row r="18" spans="1:9" x14ac:dyDescent="0.2">
      <c r="A18" s="21">
        <v>40</v>
      </c>
      <c r="B18" s="21">
        <v>-22</v>
      </c>
      <c r="C18" s="21">
        <v>-17</v>
      </c>
      <c r="D18" s="21">
        <f t="shared" si="0"/>
        <v>-39</v>
      </c>
      <c r="I18" s="21"/>
    </row>
    <row r="19" spans="1:9" x14ac:dyDescent="0.2">
      <c r="A19" s="21">
        <v>50</v>
      </c>
      <c r="B19" s="21">
        <f>50-40-22</f>
        <v>-12</v>
      </c>
      <c r="C19" s="21">
        <v>-17</v>
      </c>
      <c r="D19" s="21">
        <f t="shared" si="0"/>
        <v>-29</v>
      </c>
      <c r="I19" s="21"/>
    </row>
    <row r="20" spans="1:9" x14ac:dyDescent="0.2">
      <c r="A20" s="21">
        <v>60</v>
      </c>
      <c r="B20" s="21">
        <f>60-40-22</f>
        <v>-2</v>
      </c>
      <c r="C20" s="21">
        <v>-17</v>
      </c>
      <c r="D20" s="21">
        <f t="shared" si="0"/>
        <v>-19</v>
      </c>
      <c r="I20" s="21"/>
    </row>
    <row r="21" spans="1:9" x14ac:dyDescent="0.2">
      <c r="A21" s="21">
        <v>70</v>
      </c>
      <c r="B21" s="21">
        <f>70-40-22</f>
        <v>8</v>
      </c>
      <c r="C21" s="21">
        <v>-17</v>
      </c>
      <c r="D21" s="21">
        <f t="shared" si="0"/>
        <v>-9</v>
      </c>
      <c r="F21" s="48" t="s">
        <v>71</v>
      </c>
      <c r="I21" s="21"/>
    </row>
    <row r="22" spans="1:9" x14ac:dyDescent="0.2">
      <c r="A22" s="21">
        <v>80</v>
      </c>
      <c r="B22" s="21">
        <f>80-40-22</f>
        <v>18</v>
      </c>
      <c r="C22" s="21">
        <v>-17</v>
      </c>
      <c r="D22" s="21">
        <f t="shared" si="0"/>
        <v>1</v>
      </c>
      <c r="I22" s="21"/>
    </row>
    <row r="23" spans="1:9" x14ac:dyDescent="0.2">
      <c r="A23" s="21">
        <v>90</v>
      </c>
      <c r="B23" s="21">
        <f>90-40-22</f>
        <v>28</v>
      </c>
      <c r="C23" s="21">
        <v>-17</v>
      </c>
      <c r="D23" s="21">
        <f t="shared" si="0"/>
        <v>11</v>
      </c>
      <c r="I23" s="21"/>
    </row>
    <row r="24" spans="1:9" x14ac:dyDescent="0.2">
      <c r="A24" s="21">
        <v>100</v>
      </c>
      <c r="B24" s="21">
        <f>100-40-22</f>
        <v>38</v>
      </c>
      <c r="C24" s="21">
        <v>-17</v>
      </c>
      <c r="D24" s="21">
        <f t="shared" si="0"/>
        <v>21</v>
      </c>
      <c r="I24" s="21"/>
    </row>
    <row r="25" spans="1:9" x14ac:dyDescent="0.2">
      <c r="I25" s="21"/>
    </row>
    <row r="26" spans="1:9" x14ac:dyDescent="0.2">
      <c r="I26" s="21"/>
    </row>
    <row r="42" spans="1:4" x14ac:dyDescent="0.2">
      <c r="B42" s="21" t="s">
        <v>2599</v>
      </c>
      <c r="C42" s="21" t="s">
        <v>246</v>
      </c>
      <c r="D42" s="21" t="s">
        <v>2598</v>
      </c>
    </row>
    <row r="43" spans="1:4" x14ac:dyDescent="0.2">
      <c r="B43" s="21">
        <v>14</v>
      </c>
      <c r="C43" s="21">
        <v>48</v>
      </c>
      <c r="D43" s="21" t="s">
        <v>60</v>
      </c>
    </row>
    <row r="44" spans="1:4" x14ac:dyDescent="0.2">
      <c r="B44" s="21">
        <v>5</v>
      </c>
      <c r="C44" s="21">
        <v>58</v>
      </c>
      <c r="D44" s="21" t="s">
        <v>60</v>
      </c>
    </row>
    <row r="45" spans="1:4" x14ac:dyDescent="0.2">
      <c r="B45" s="21">
        <v>2</v>
      </c>
      <c r="C45" s="21">
        <v>64</v>
      </c>
      <c r="D45" s="21" t="s">
        <v>60</v>
      </c>
    </row>
    <row r="47" spans="1:4" x14ac:dyDescent="0.2">
      <c r="A47" s="1" t="s">
        <v>2606</v>
      </c>
      <c r="B47" s="1" t="s">
        <v>2600</v>
      </c>
    </row>
    <row r="48" spans="1:4" x14ac:dyDescent="0.2">
      <c r="A48" s="1" t="s">
        <v>2612</v>
      </c>
      <c r="B48" s="1" t="s">
        <v>2601</v>
      </c>
    </row>
    <row r="49" spans="1:5" x14ac:dyDescent="0.2">
      <c r="B49" s="1" t="s">
        <v>2602</v>
      </c>
    </row>
    <row r="51" spans="1:5" x14ac:dyDescent="0.2">
      <c r="C51" s="1" t="s">
        <v>2603</v>
      </c>
    </row>
    <row r="52" spans="1:5" x14ac:dyDescent="0.2">
      <c r="C52" s="1" t="s">
        <v>2604</v>
      </c>
    </row>
    <row r="53" spans="1:5" x14ac:dyDescent="0.2">
      <c r="C53" s="1" t="s">
        <v>2605</v>
      </c>
    </row>
    <row r="54" spans="1:5" x14ac:dyDescent="0.2">
      <c r="E54" s="220"/>
    </row>
    <row r="55" spans="1:5" x14ac:dyDescent="0.2">
      <c r="C55" s="1" t="s">
        <v>1415</v>
      </c>
      <c r="E55" s="219"/>
    </row>
    <row r="56" spans="1:5" x14ac:dyDescent="0.2">
      <c r="C56" s="1" t="s">
        <v>1416</v>
      </c>
    </row>
    <row r="57" spans="1:5" x14ac:dyDescent="0.2">
      <c r="C57" s="1" t="s">
        <v>1417</v>
      </c>
    </row>
    <row r="59" spans="1:5" x14ac:dyDescent="0.2">
      <c r="A59" s="1" t="s">
        <v>2606</v>
      </c>
      <c r="B59" s="1" t="s">
        <v>2607</v>
      </c>
    </row>
    <row r="60" spans="1:5" x14ac:dyDescent="0.2">
      <c r="A60" s="1" t="s">
        <v>2613</v>
      </c>
      <c r="B60" s="1" t="s">
        <v>2608</v>
      </c>
    </row>
    <row r="61" spans="1:5" x14ac:dyDescent="0.2">
      <c r="B61" s="1" t="s">
        <v>2609</v>
      </c>
    </row>
    <row r="62" spans="1:5" x14ac:dyDescent="0.2">
      <c r="B62" s="1" t="s">
        <v>2610</v>
      </c>
    </row>
    <row r="63" spans="1:5" x14ac:dyDescent="0.2">
      <c r="B63" s="1" t="s">
        <v>2611</v>
      </c>
    </row>
    <row r="70" spans="2:8" x14ac:dyDescent="0.2">
      <c r="B70" s="1" t="s">
        <v>2614</v>
      </c>
    </row>
    <row r="71" spans="2:8" x14ac:dyDescent="0.2">
      <c r="C71" s="1" t="s">
        <v>2615</v>
      </c>
      <c r="E71" s="21">
        <v>-14</v>
      </c>
    </row>
    <row r="72" spans="2:8" x14ac:dyDescent="0.2">
      <c r="C72" s="1" t="s">
        <v>2616</v>
      </c>
      <c r="E72" s="21">
        <f>-B45</f>
        <v>-2</v>
      </c>
    </row>
    <row r="73" spans="2:8" x14ac:dyDescent="0.2">
      <c r="C73" s="1" t="s">
        <v>2617</v>
      </c>
      <c r="E73" s="21">
        <f>2*5</f>
        <v>10</v>
      </c>
      <c r="F73" s="1" t="s">
        <v>2618</v>
      </c>
    </row>
    <row r="74" spans="2:8" x14ac:dyDescent="0.2">
      <c r="C74" s="1" t="s">
        <v>2619</v>
      </c>
      <c r="E74" s="226">
        <f>SUM(E71:E73)</f>
        <v>-6</v>
      </c>
    </row>
    <row r="76" spans="2:8" x14ac:dyDescent="0.2">
      <c r="F76" s="1" t="s">
        <v>381</v>
      </c>
    </row>
    <row r="78" spans="2:8" x14ac:dyDescent="0.2">
      <c r="H78" s="13" t="s">
        <v>2624</v>
      </c>
    </row>
    <row r="79" spans="2:8" x14ac:dyDescent="0.2">
      <c r="H79" s="13" t="s">
        <v>2625</v>
      </c>
    </row>
    <row r="80" spans="2:8" x14ac:dyDescent="0.2">
      <c r="H80" s="13" t="s">
        <v>2626</v>
      </c>
    </row>
    <row r="81" spans="1:8" x14ac:dyDescent="0.2">
      <c r="H81" s="13" t="s">
        <v>2629</v>
      </c>
    </row>
    <row r="82" spans="1:8" x14ac:dyDescent="0.2">
      <c r="H82" s="13" t="s">
        <v>2627</v>
      </c>
    </row>
    <row r="83" spans="1:8" x14ac:dyDescent="0.2">
      <c r="B83" s="21" t="s">
        <v>1418</v>
      </c>
      <c r="H83" s="13" t="s">
        <v>2628</v>
      </c>
    </row>
    <row r="84" spans="1:8" x14ac:dyDescent="0.2">
      <c r="B84" s="21" t="s">
        <v>1419</v>
      </c>
      <c r="H84" s="13"/>
    </row>
    <row r="85" spans="1:8" x14ac:dyDescent="0.2">
      <c r="B85" s="21" t="s">
        <v>71</v>
      </c>
      <c r="H85" s="13"/>
    </row>
    <row r="95" spans="1:8" x14ac:dyDescent="0.2">
      <c r="A95" s="1" t="s">
        <v>2620</v>
      </c>
    </row>
    <row r="96" spans="1:8" x14ac:dyDescent="0.2">
      <c r="A96" s="1" t="s">
        <v>2621</v>
      </c>
    </row>
    <row r="97" spans="1:1" x14ac:dyDescent="0.2">
      <c r="A97" s="1" t="s">
        <v>2622</v>
      </c>
    </row>
    <row r="98" spans="1:1" x14ac:dyDescent="0.2">
      <c r="A98" s="1" t="s">
        <v>2623</v>
      </c>
    </row>
  </sheetData>
  <pageMargins left="0.7" right="0.7" top="0.75" bottom="0.75" header="0.3" footer="0.3"/>
  <ignoredErrors>
    <ignoredError sqref="D18" formulaRange="1"/>
  </ignoredError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68E13-4E63-A64D-B938-26C31FB0E7B8}">
  <dimension ref="A1:D23"/>
  <sheetViews>
    <sheetView rightToLeft="1" zoomScale="256" zoomScaleNormal="115" zoomScaleSheetLayoutView="248" workbookViewId="0">
      <selection activeCell="C20" sqref="C20"/>
    </sheetView>
  </sheetViews>
  <sheetFormatPr baseColWidth="10" defaultRowHeight="16" x14ac:dyDescent="0.2"/>
  <cols>
    <col min="1" max="2" width="10.83203125" style="1"/>
    <col min="3" max="3" width="63.33203125" style="1" bestFit="1" customWidth="1"/>
    <col min="4" max="4" width="72.83203125" style="1" bestFit="1" customWidth="1"/>
    <col min="5" max="16384" width="10.83203125" style="1"/>
  </cols>
  <sheetData>
    <row r="1" spans="1:4" x14ac:dyDescent="0.2">
      <c r="A1" s="4" t="s">
        <v>208</v>
      </c>
      <c r="D1" s="58" t="s">
        <v>319</v>
      </c>
    </row>
    <row r="2" spans="1:4" x14ac:dyDescent="0.2">
      <c r="A2" s="1" t="s">
        <v>322</v>
      </c>
      <c r="D2" s="57" t="s">
        <v>320</v>
      </c>
    </row>
    <row r="3" spans="1:4" x14ac:dyDescent="0.2">
      <c r="A3" s="1" t="s">
        <v>601</v>
      </c>
      <c r="D3" s="59" t="s">
        <v>321</v>
      </c>
    </row>
    <row r="5" spans="1:4" ht="17" thickBot="1" x14ac:dyDescent="0.25">
      <c r="A5" s="38" t="s">
        <v>209</v>
      </c>
      <c r="B5" s="1" t="s">
        <v>210</v>
      </c>
      <c r="C5" s="1" t="s">
        <v>211</v>
      </c>
      <c r="D5" s="1" t="s">
        <v>240</v>
      </c>
    </row>
    <row r="6" spans="1:4" ht="17" thickBot="1" x14ac:dyDescent="0.25">
      <c r="A6" s="58">
        <v>1</v>
      </c>
      <c r="B6" s="100">
        <v>45602</v>
      </c>
      <c r="C6" s="101" t="s">
        <v>1986</v>
      </c>
      <c r="D6" s="102" t="s">
        <v>1987</v>
      </c>
    </row>
    <row r="7" spans="1:4" ht="17" thickBot="1" x14ac:dyDescent="0.25">
      <c r="A7" s="58">
        <f>A6+1</f>
        <v>2</v>
      </c>
      <c r="B7" s="100">
        <v>45609</v>
      </c>
      <c r="C7" s="101" t="s">
        <v>1988</v>
      </c>
      <c r="D7" s="102" t="s">
        <v>2031</v>
      </c>
    </row>
    <row r="8" spans="1:4" ht="17" thickBot="1" x14ac:dyDescent="0.25">
      <c r="A8" s="58">
        <f t="shared" ref="A8:A10" si="0">A7+1</f>
        <v>3</v>
      </c>
      <c r="B8" s="100">
        <v>45616</v>
      </c>
      <c r="C8" s="101" t="s">
        <v>2107</v>
      </c>
      <c r="D8" s="102" t="s">
        <v>2108</v>
      </c>
    </row>
    <row r="9" spans="1:4" ht="17" thickBot="1" x14ac:dyDescent="0.25">
      <c r="A9" s="58">
        <f t="shared" si="0"/>
        <v>4</v>
      </c>
      <c r="B9" s="100">
        <v>45623</v>
      </c>
      <c r="C9" s="101" t="s">
        <v>2131</v>
      </c>
      <c r="D9" s="102" t="s">
        <v>2134</v>
      </c>
    </row>
    <row r="10" spans="1:4" x14ac:dyDescent="0.2">
      <c r="A10" s="58">
        <f t="shared" si="0"/>
        <v>5</v>
      </c>
      <c r="B10" s="299">
        <v>45630</v>
      </c>
      <c r="C10" s="300" t="s">
        <v>2215</v>
      </c>
      <c r="D10" s="301" t="s">
        <v>2216</v>
      </c>
    </row>
    <row r="11" spans="1:4" x14ac:dyDescent="0.2">
      <c r="A11" s="308" t="s">
        <v>2312</v>
      </c>
      <c r="B11" s="302"/>
      <c r="C11" s="303" t="s">
        <v>2217</v>
      </c>
      <c r="D11" s="304" t="s">
        <v>2305</v>
      </c>
    </row>
    <row r="12" spans="1:4" x14ac:dyDescent="0.2">
      <c r="A12" s="58"/>
      <c r="B12" s="302"/>
      <c r="C12" s="58"/>
      <c r="D12" s="304" t="s">
        <v>2306</v>
      </c>
    </row>
    <row r="13" spans="1:4" ht="17" thickBot="1" x14ac:dyDescent="0.25">
      <c r="A13" s="58"/>
      <c r="B13" s="305"/>
      <c r="C13" s="306"/>
      <c r="D13" s="307"/>
    </row>
    <row r="14" spans="1:4" x14ac:dyDescent="0.2">
      <c r="A14" s="58">
        <f>A10+1</f>
        <v>6</v>
      </c>
      <c r="B14" s="299">
        <v>45637</v>
      </c>
      <c r="C14" s="300" t="s">
        <v>2307</v>
      </c>
      <c r="D14" s="301" t="s">
        <v>2310</v>
      </c>
    </row>
    <row r="15" spans="1:4" x14ac:dyDescent="0.2">
      <c r="A15" s="308" t="s">
        <v>2311</v>
      </c>
      <c r="B15" s="302"/>
      <c r="C15" s="58" t="s">
        <v>2308</v>
      </c>
      <c r="D15" s="304"/>
    </row>
    <row r="16" spans="1:4" ht="17" thickBot="1" x14ac:dyDescent="0.25">
      <c r="A16" s="58"/>
      <c r="B16" s="305"/>
      <c r="C16" s="306" t="s">
        <v>2309</v>
      </c>
      <c r="D16" s="307"/>
    </row>
    <row r="17" spans="1:4" ht="17" thickBot="1" x14ac:dyDescent="0.25">
      <c r="A17" s="1">
        <v>7</v>
      </c>
      <c r="B17" s="268"/>
      <c r="C17" s="6"/>
      <c r="D17" s="7"/>
    </row>
    <row r="18" spans="1:4" ht="17" thickBot="1" x14ac:dyDescent="0.25">
      <c r="A18" s="1">
        <v>8</v>
      </c>
      <c r="B18" s="268"/>
      <c r="C18" s="6"/>
      <c r="D18" s="7"/>
    </row>
    <row r="19" spans="1:4" ht="17" thickBot="1" x14ac:dyDescent="0.25">
      <c r="A19" s="1">
        <v>9</v>
      </c>
      <c r="B19" s="268"/>
      <c r="C19" s="6"/>
      <c r="D19" s="7"/>
    </row>
    <row r="20" spans="1:4" ht="17" thickBot="1" x14ac:dyDescent="0.25">
      <c r="A20" s="1">
        <v>10</v>
      </c>
      <c r="B20" s="268"/>
      <c r="C20" s="6"/>
      <c r="D20" s="7"/>
    </row>
    <row r="21" spans="1:4" ht="17" thickBot="1" x14ac:dyDescent="0.25">
      <c r="A21" s="1">
        <v>11</v>
      </c>
      <c r="B21" s="268"/>
    </row>
    <row r="22" spans="1:4" ht="17" thickBot="1" x14ac:dyDescent="0.25">
      <c r="A22" s="1">
        <v>12</v>
      </c>
      <c r="B22" s="268"/>
    </row>
    <row r="23" spans="1:4" x14ac:dyDescent="0.2">
      <c r="A23" s="1">
        <v>13</v>
      </c>
      <c r="B23" s="268"/>
    </row>
  </sheetData>
  <pageMargins left="0.7" right="0.7" top="0.75" bottom="0.75" header="0.3" footer="0.3"/>
  <pageSetup paperSize="9" scale="73" orientation="landscape" horizontalDpi="0" verticalDpi="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158020-1AAE-C04A-BCB7-27D4A1035360}">
  <dimension ref="A1:K253"/>
  <sheetViews>
    <sheetView showGridLines="0" rightToLeft="1" topLeftCell="A256" zoomScale="174" zoomScaleNormal="254" zoomScaleSheetLayoutView="290" workbookViewId="0">
      <selection activeCell="A211" sqref="A211"/>
    </sheetView>
  </sheetViews>
  <sheetFormatPr baseColWidth="10" defaultRowHeight="16" x14ac:dyDescent="0.2"/>
  <cols>
    <col min="1" max="16384" width="10.83203125" style="1"/>
  </cols>
  <sheetData>
    <row r="1" spans="1:8" x14ac:dyDescent="0.2">
      <c r="A1" s="2" t="s">
        <v>108</v>
      </c>
      <c r="B1" s="2"/>
      <c r="C1" s="2"/>
      <c r="D1" s="2"/>
      <c r="E1" s="2"/>
      <c r="F1" s="2"/>
      <c r="G1" s="2"/>
      <c r="H1" s="3">
        <v>45967</v>
      </c>
    </row>
    <row r="2" spans="1:8" ht="17" thickBot="1" x14ac:dyDescent="0.25"/>
    <row r="3" spans="1:8" ht="17" thickBot="1" x14ac:dyDescent="0.25">
      <c r="A3" s="5" t="s">
        <v>2</v>
      </c>
      <c r="B3" s="6"/>
      <c r="C3" s="6"/>
      <c r="D3" s="6"/>
      <c r="E3" s="6"/>
      <c r="F3" s="6"/>
      <c r="G3" s="6"/>
      <c r="H3" s="7"/>
    </row>
    <row r="4" spans="1:8" x14ac:dyDescent="0.2">
      <c r="A4" s="1" t="s">
        <v>3</v>
      </c>
    </row>
    <row r="5" spans="1:8" x14ac:dyDescent="0.2">
      <c r="A5" s="1" t="s">
        <v>4</v>
      </c>
    </row>
    <row r="6" spans="1:8" x14ac:dyDescent="0.2">
      <c r="A6" s="1" t="s">
        <v>5</v>
      </c>
    </row>
    <row r="7" spans="1:8" x14ac:dyDescent="0.2">
      <c r="A7" s="1" t="s">
        <v>1952</v>
      </c>
    </row>
    <row r="8" spans="1:8" x14ac:dyDescent="0.2">
      <c r="A8" s="1" t="s">
        <v>6</v>
      </c>
    </row>
    <row r="9" spans="1:8" x14ac:dyDescent="0.2">
      <c r="A9" s="1" t="s">
        <v>17</v>
      </c>
    </row>
    <row r="10" spans="1:8" ht="17" thickBot="1" x14ac:dyDescent="0.25"/>
    <row r="11" spans="1:8" ht="17" thickBot="1" x14ac:dyDescent="0.25">
      <c r="A11" s="5" t="s">
        <v>7</v>
      </c>
      <c r="B11" s="6"/>
      <c r="C11" s="6"/>
      <c r="D11" s="6"/>
      <c r="E11" s="6"/>
      <c r="F11" s="6"/>
      <c r="G11" s="6"/>
      <c r="H11" s="7"/>
    </row>
    <row r="12" spans="1:8" x14ac:dyDescent="0.2">
      <c r="A12" s="1" t="s">
        <v>801</v>
      </c>
    </row>
    <row r="13" spans="1:8" x14ac:dyDescent="0.2">
      <c r="A13" s="1" t="s">
        <v>802</v>
      </c>
    </row>
    <row r="14" spans="1:8" x14ac:dyDescent="0.2">
      <c r="A14" s="1" t="s">
        <v>803</v>
      </c>
    </row>
    <row r="15" spans="1:8" ht="17" thickBot="1" x14ac:dyDescent="0.25"/>
    <row r="16" spans="1:8" ht="17" thickBot="1" x14ac:dyDescent="0.25">
      <c r="A16" s="5" t="s">
        <v>8</v>
      </c>
      <c r="B16" s="6"/>
      <c r="C16" s="6"/>
      <c r="D16" s="6"/>
      <c r="E16" s="6"/>
      <c r="F16" s="6"/>
      <c r="G16" s="6"/>
      <c r="H16" s="7"/>
    </row>
    <row r="17" spans="1:8" x14ac:dyDescent="0.2">
      <c r="A17" s="1" t="s">
        <v>9</v>
      </c>
    </row>
    <row r="18" spans="1:8" x14ac:dyDescent="0.2">
      <c r="A18" s="1" t="s">
        <v>10</v>
      </c>
    </row>
    <row r="19" spans="1:8" x14ac:dyDescent="0.2">
      <c r="A19" s="1" t="s">
        <v>11</v>
      </c>
    </row>
    <row r="20" spans="1:8" x14ac:dyDescent="0.2">
      <c r="A20" s="1" t="s">
        <v>12</v>
      </c>
    </row>
    <row r="21" spans="1:8" x14ac:dyDescent="0.2">
      <c r="A21" s="1" t="s">
        <v>13</v>
      </c>
    </row>
    <row r="22" spans="1:8" x14ac:dyDescent="0.2">
      <c r="A22" s="1" t="s">
        <v>14</v>
      </c>
    </row>
    <row r="23" spans="1:8" ht="17" thickBot="1" x14ac:dyDescent="0.25"/>
    <row r="24" spans="1:8" ht="22" thickBot="1" x14ac:dyDescent="0.3">
      <c r="A24" s="10" t="s">
        <v>15</v>
      </c>
      <c r="B24" s="11"/>
      <c r="C24" s="11"/>
      <c r="D24" s="11"/>
      <c r="E24" s="11"/>
      <c r="F24" s="11"/>
      <c r="G24" s="11"/>
      <c r="H24" s="12"/>
    </row>
    <row r="25" spans="1:8" x14ac:dyDescent="0.2">
      <c r="A25" s="1" t="s">
        <v>16</v>
      </c>
    </row>
    <row r="27" spans="1:8" x14ac:dyDescent="0.2">
      <c r="A27" s="1" t="s">
        <v>19</v>
      </c>
      <c r="E27" s="1" t="s">
        <v>18</v>
      </c>
    </row>
    <row r="28" spans="1:8" x14ac:dyDescent="0.2">
      <c r="E28"/>
    </row>
    <row r="38" spans="1:8" x14ac:dyDescent="0.2">
      <c r="A38" s="1" t="s">
        <v>20</v>
      </c>
    </row>
    <row r="39" spans="1:8" x14ac:dyDescent="0.2">
      <c r="A39" s="1" t="s">
        <v>804</v>
      </c>
    </row>
    <row r="40" spans="1:8" x14ac:dyDescent="0.2">
      <c r="A40" s="1" t="s">
        <v>21</v>
      </c>
    </row>
    <row r="41" spans="1:8" x14ac:dyDescent="0.2">
      <c r="A41" s="1" t="s">
        <v>22</v>
      </c>
    </row>
    <row r="43" spans="1:8" x14ac:dyDescent="0.2">
      <c r="A43" s="1" t="s">
        <v>805</v>
      </c>
    </row>
    <row r="45" spans="1:8" x14ac:dyDescent="0.2">
      <c r="A45" s="13" t="s">
        <v>46</v>
      </c>
      <c r="B45" s="4"/>
      <c r="C45" s="4"/>
      <c r="D45" s="4"/>
      <c r="E45" s="4"/>
      <c r="F45" s="4"/>
      <c r="G45" s="4"/>
      <c r="H45" s="4"/>
    </row>
    <row r="47" spans="1:8" x14ac:dyDescent="0.2">
      <c r="A47" s="1" t="s">
        <v>1953</v>
      </c>
      <c r="H47" s="1" t="s">
        <v>23</v>
      </c>
    </row>
    <row r="48" spans="1:8" x14ac:dyDescent="0.2">
      <c r="A48" s="1" t="s">
        <v>28</v>
      </c>
      <c r="H48" s="1" t="s">
        <v>24</v>
      </c>
    </row>
    <row r="49" spans="1:11" x14ac:dyDescent="0.2">
      <c r="A49" s="1" t="s">
        <v>1954</v>
      </c>
      <c r="H49" s="1" t="s">
        <v>25</v>
      </c>
    </row>
    <row r="50" spans="1:11" x14ac:dyDescent="0.2">
      <c r="A50" s="1" t="s">
        <v>1955</v>
      </c>
      <c r="H50" s="1" t="s">
        <v>26</v>
      </c>
    </row>
    <row r="51" spans="1:11" x14ac:dyDescent="0.2">
      <c r="A51" s="1" t="s">
        <v>29</v>
      </c>
      <c r="H51" s="1" t="s">
        <v>27</v>
      </c>
    </row>
    <row r="53" spans="1:11" x14ac:dyDescent="0.2">
      <c r="A53" s="4" t="s">
        <v>30</v>
      </c>
    </row>
    <row r="54" spans="1:11" x14ac:dyDescent="0.2">
      <c r="A54" s="1" t="s">
        <v>806</v>
      </c>
    </row>
    <row r="56" spans="1:11" x14ac:dyDescent="0.2">
      <c r="A56" s="4" t="s">
        <v>31</v>
      </c>
    </row>
    <row r="57" spans="1:11" x14ac:dyDescent="0.2">
      <c r="A57" s="1" t="s">
        <v>807</v>
      </c>
    </row>
    <row r="58" spans="1:11" x14ac:dyDescent="0.2">
      <c r="A58" s="1" t="s">
        <v>808</v>
      </c>
    </row>
    <row r="60" spans="1:11" x14ac:dyDescent="0.2">
      <c r="A60" s="4" t="s">
        <v>32</v>
      </c>
    </row>
    <row r="61" spans="1:11" x14ac:dyDescent="0.2">
      <c r="A61" s="1" t="s">
        <v>809</v>
      </c>
    </row>
    <row r="63" spans="1:11" x14ac:dyDescent="0.2">
      <c r="A63" s="4" t="s">
        <v>40</v>
      </c>
      <c r="J63" s="123" t="s">
        <v>815</v>
      </c>
    </row>
    <row r="64" spans="1:11" x14ac:dyDescent="0.2">
      <c r="A64" s="1" t="s">
        <v>33</v>
      </c>
      <c r="J64" s="123" t="s">
        <v>816</v>
      </c>
      <c r="K64" s="123"/>
    </row>
    <row r="65" spans="1:11" x14ac:dyDescent="0.2">
      <c r="A65" s="19" t="s">
        <v>810</v>
      </c>
      <c r="J65" s="123" t="s">
        <v>817</v>
      </c>
      <c r="K65" s="123"/>
    </row>
    <row r="66" spans="1:11" x14ac:dyDescent="0.2">
      <c r="A66" s="19" t="s">
        <v>811</v>
      </c>
      <c r="K66" s="123"/>
    </row>
    <row r="67" spans="1:11" x14ac:dyDescent="0.2">
      <c r="A67" s="19"/>
      <c r="J67" s="123"/>
      <c r="K67" s="123"/>
    </row>
    <row r="68" spans="1:11" x14ac:dyDescent="0.2">
      <c r="A68" s="19" t="s">
        <v>109</v>
      </c>
      <c r="J68" s="123" t="s">
        <v>812</v>
      </c>
      <c r="K68" s="123"/>
    </row>
    <row r="69" spans="1:11" x14ac:dyDescent="0.2">
      <c r="A69" s="19" t="s">
        <v>110</v>
      </c>
      <c r="J69" s="123" t="s">
        <v>813</v>
      </c>
      <c r="K69" s="123"/>
    </row>
    <row r="70" spans="1:11" x14ac:dyDescent="0.2">
      <c r="J70" s="123" t="s">
        <v>814</v>
      </c>
      <c r="K70" s="123"/>
    </row>
    <row r="71" spans="1:11" x14ac:dyDescent="0.2">
      <c r="A71" s="4" t="s">
        <v>42</v>
      </c>
    </row>
    <row r="72" spans="1:11" x14ac:dyDescent="0.2">
      <c r="A72" s="1" t="s">
        <v>818</v>
      </c>
    </row>
    <row r="73" spans="1:11" x14ac:dyDescent="0.2">
      <c r="A73" s="1" t="s">
        <v>111</v>
      </c>
    </row>
    <row r="74" spans="1:11" x14ac:dyDescent="0.2">
      <c r="A74" s="1" t="s">
        <v>34</v>
      </c>
    </row>
    <row r="75" spans="1:11" x14ac:dyDescent="0.2">
      <c r="A75" s="1" t="s">
        <v>35</v>
      </c>
    </row>
    <row r="76" spans="1:11" x14ac:dyDescent="0.2">
      <c r="A76" s="18" t="s">
        <v>819</v>
      </c>
    </row>
    <row r="77" spans="1:11" x14ac:dyDescent="0.2">
      <c r="A77" s="18" t="s">
        <v>820</v>
      </c>
    </row>
    <row r="79" spans="1:11" ht="17" thickBot="1" x14ac:dyDescent="0.25"/>
    <row r="80" spans="1:11" ht="17" thickBot="1" x14ac:dyDescent="0.25">
      <c r="A80" s="5" t="s">
        <v>45</v>
      </c>
      <c r="B80" s="8"/>
      <c r="C80" s="8"/>
      <c r="D80" s="8"/>
      <c r="E80" s="8"/>
      <c r="F80" s="8"/>
      <c r="G80" s="8"/>
      <c r="H80" s="9"/>
    </row>
    <row r="81" spans="1:8" ht="17" thickBot="1" x14ac:dyDescent="0.25"/>
    <row r="82" spans="1:8" ht="17" thickBot="1" x14ac:dyDescent="0.25">
      <c r="A82" s="1" t="s">
        <v>38</v>
      </c>
      <c r="C82" s="20" t="s">
        <v>37</v>
      </c>
      <c r="E82" s="1" t="s">
        <v>821</v>
      </c>
    </row>
    <row r="83" spans="1:8" ht="17" thickBot="1" x14ac:dyDescent="0.25">
      <c r="A83" s="1" t="s">
        <v>39</v>
      </c>
      <c r="C83" s="20" t="s">
        <v>56</v>
      </c>
    </row>
    <row r="84" spans="1:8" ht="17" thickBot="1" x14ac:dyDescent="0.25">
      <c r="A84" s="1" t="s">
        <v>41</v>
      </c>
      <c r="C84" s="20">
        <v>2600</v>
      </c>
      <c r="E84" s="1" t="s">
        <v>822</v>
      </c>
    </row>
    <row r="85" spans="1:8" ht="17" thickBot="1" x14ac:dyDescent="0.25">
      <c r="A85" s="1" t="s">
        <v>43</v>
      </c>
      <c r="C85" s="20" t="s">
        <v>57</v>
      </c>
      <c r="E85" s="1" t="s">
        <v>112</v>
      </c>
    </row>
    <row r="86" spans="1:8" ht="17" thickBot="1" x14ac:dyDescent="0.25">
      <c r="A86" s="1" t="s">
        <v>44</v>
      </c>
      <c r="C86" s="20">
        <v>400</v>
      </c>
      <c r="E86" s="1" t="s">
        <v>823</v>
      </c>
    </row>
    <row r="88" spans="1:8" ht="17" thickBot="1" x14ac:dyDescent="0.25"/>
    <row r="89" spans="1:8" ht="17" thickBot="1" x14ac:dyDescent="0.25">
      <c r="A89" s="124" t="s">
        <v>824</v>
      </c>
      <c r="B89" s="6"/>
      <c r="C89" s="6"/>
      <c r="D89" s="6"/>
      <c r="E89" s="6"/>
      <c r="F89" s="6"/>
      <c r="G89" s="6"/>
      <c r="H89" s="7"/>
    </row>
    <row r="91" spans="1:8" x14ac:dyDescent="0.2">
      <c r="A91" s="4" t="s">
        <v>48</v>
      </c>
      <c r="B91" s="4"/>
      <c r="C91" s="4"/>
      <c r="D91" s="4"/>
      <c r="E91" s="4"/>
      <c r="F91" s="4"/>
      <c r="G91" s="4"/>
      <c r="H91" s="4" t="s">
        <v>47</v>
      </c>
    </row>
    <row r="93" spans="1:8" x14ac:dyDescent="0.2">
      <c r="A93" s="1" t="s">
        <v>49</v>
      </c>
    </row>
    <row r="94" spans="1:8" x14ac:dyDescent="0.2">
      <c r="A94" s="1" t="s">
        <v>50</v>
      </c>
    </row>
    <row r="96" spans="1:8" x14ac:dyDescent="0.2">
      <c r="A96" s="4" t="s">
        <v>51</v>
      </c>
      <c r="B96" s="4"/>
      <c r="C96" s="4"/>
      <c r="D96" s="4"/>
      <c r="E96" s="4"/>
      <c r="F96" s="4"/>
      <c r="G96" s="4"/>
      <c r="H96" s="4" t="s">
        <v>52</v>
      </c>
    </row>
    <row r="97" spans="1:8" x14ac:dyDescent="0.2">
      <c r="A97" s="1" t="s">
        <v>53</v>
      </c>
    </row>
    <row r="98" spans="1:8" x14ac:dyDescent="0.2">
      <c r="A98" s="19" t="s">
        <v>113</v>
      </c>
    </row>
    <row r="99" spans="1:8" x14ac:dyDescent="0.2">
      <c r="A99" s="19" t="s">
        <v>114</v>
      </c>
    </row>
    <row r="101" spans="1:8" x14ac:dyDescent="0.2">
      <c r="A101" s="4" t="s">
        <v>115</v>
      </c>
      <c r="B101" s="4"/>
      <c r="C101" s="4"/>
      <c r="D101" s="4"/>
      <c r="E101" s="4"/>
      <c r="F101" s="4"/>
      <c r="G101" s="4"/>
      <c r="H101" s="4" t="s">
        <v>54</v>
      </c>
    </row>
    <row r="102" spans="1:8" x14ac:dyDescent="0.2">
      <c r="A102" s="1" t="s">
        <v>55</v>
      </c>
    </row>
    <row r="103" spans="1:8" x14ac:dyDescent="0.2">
      <c r="A103" s="18" t="s">
        <v>116</v>
      </c>
    </row>
    <row r="104" spans="1:8" ht="17" thickBot="1" x14ac:dyDescent="0.25"/>
    <row r="105" spans="1:8" ht="17" thickBot="1" x14ac:dyDescent="0.25">
      <c r="A105" s="5" t="s">
        <v>45</v>
      </c>
      <c r="B105" s="8"/>
      <c r="C105" s="8"/>
      <c r="D105" s="8"/>
      <c r="E105" s="8"/>
      <c r="F105" s="8"/>
      <c r="G105" s="8"/>
      <c r="H105" s="9"/>
    </row>
    <row r="106" spans="1:8" ht="17" thickBot="1" x14ac:dyDescent="0.25"/>
    <row r="107" spans="1:8" ht="17" thickBot="1" x14ac:dyDescent="0.25">
      <c r="A107" s="1" t="s">
        <v>58</v>
      </c>
      <c r="C107" s="267" t="s">
        <v>36</v>
      </c>
      <c r="E107" s="1" t="s">
        <v>1956</v>
      </c>
    </row>
    <row r="108" spans="1:8" ht="17" thickBot="1" x14ac:dyDescent="0.25">
      <c r="A108" s="1" t="s">
        <v>59</v>
      </c>
      <c r="C108" s="267" t="s">
        <v>60</v>
      </c>
      <c r="E108" s="1" t="s">
        <v>1957</v>
      </c>
    </row>
    <row r="109" spans="1:8" ht="17" thickBot="1" x14ac:dyDescent="0.25"/>
    <row r="110" spans="1:8" x14ac:dyDescent="0.2">
      <c r="A110" s="46" t="s">
        <v>831</v>
      </c>
      <c r="B110" s="39"/>
      <c r="C110" s="39"/>
      <c r="D110" s="39"/>
      <c r="E110" s="39"/>
      <c r="F110" s="39"/>
      <c r="G110" s="39"/>
      <c r="H110" s="40"/>
    </row>
    <row r="111" spans="1:8" x14ac:dyDescent="0.2">
      <c r="A111" s="41"/>
      <c r="H111" s="42"/>
    </row>
    <row r="112" spans="1:8" x14ac:dyDescent="0.2">
      <c r="A112" s="41" t="s">
        <v>825</v>
      </c>
      <c r="C112" s="1" t="s">
        <v>826</v>
      </c>
      <c r="H112" s="42"/>
    </row>
    <row r="113" spans="1:8" x14ac:dyDescent="0.2">
      <c r="A113" s="41" t="s">
        <v>827</v>
      </c>
      <c r="C113" s="1" t="s">
        <v>828</v>
      </c>
      <c r="H113" s="42"/>
    </row>
    <row r="114" spans="1:8" ht="17" thickBot="1" x14ac:dyDescent="0.25">
      <c r="A114" s="43" t="s">
        <v>829</v>
      </c>
      <c r="B114" s="44"/>
      <c r="C114" s="44" t="s">
        <v>830</v>
      </c>
      <c r="D114" s="44"/>
      <c r="E114" s="44"/>
      <c r="F114" s="44"/>
      <c r="G114" s="44"/>
      <c r="H114" s="45"/>
    </row>
    <row r="115" spans="1:8" ht="17" thickBot="1" x14ac:dyDescent="0.25"/>
    <row r="116" spans="1:8" ht="17" thickBot="1" x14ac:dyDescent="0.25">
      <c r="A116" s="5" t="s">
        <v>832</v>
      </c>
      <c r="B116" s="8"/>
      <c r="C116" s="8"/>
      <c r="D116" s="8"/>
      <c r="E116" s="8"/>
      <c r="F116" s="8"/>
      <c r="G116" s="8"/>
      <c r="H116" s="9"/>
    </row>
    <row r="118" spans="1:8" x14ac:dyDescent="0.2">
      <c r="A118" s="1" t="s">
        <v>833</v>
      </c>
    </row>
    <row r="120" spans="1:8" x14ac:dyDescent="0.2">
      <c r="A120" s="1" t="s">
        <v>834</v>
      </c>
    </row>
    <row r="121" spans="1:8" x14ac:dyDescent="0.2">
      <c r="A121" s="1" t="s">
        <v>61</v>
      </c>
    </row>
    <row r="122" spans="1:8" x14ac:dyDescent="0.2">
      <c r="A122" s="1" t="s">
        <v>62</v>
      </c>
    </row>
    <row r="123" spans="1:8" x14ac:dyDescent="0.2">
      <c r="A123" s="1" t="s">
        <v>836</v>
      </c>
    </row>
    <row r="124" spans="1:8" x14ac:dyDescent="0.2">
      <c r="A124" s="1" t="s">
        <v>837</v>
      </c>
    </row>
    <row r="126" spans="1:8" x14ac:dyDescent="0.2">
      <c r="A126" s="1" t="s">
        <v>835</v>
      </c>
    </row>
    <row r="127" spans="1:8" x14ac:dyDescent="0.2">
      <c r="A127" s="1" t="s">
        <v>63</v>
      </c>
    </row>
    <row r="128" spans="1:8" x14ac:dyDescent="0.2">
      <c r="A128" s="1" t="s">
        <v>838</v>
      </c>
      <c r="E128" s="21" t="s">
        <v>839</v>
      </c>
      <c r="F128" s="1" t="s">
        <v>840</v>
      </c>
    </row>
    <row r="129" spans="1:8" x14ac:dyDescent="0.2">
      <c r="A129" s="1" t="s">
        <v>841</v>
      </c>
    </row>
    <row r="130" spans="1:8" x14ac:dyDescent="0.2">
      <c r="A130" s="1" t="s">
        <v>842</v>
      </c>
    </row>
    <row r="131" spans="1:8" x14ac:dyDescent="0.2">
      <c r="A131" s="1" t="s">
        <v>843</v>
      </c>
    </row>
    <row r="132" spans="1:8" ht="17" thickBot="1" x14ac:dyDescent="0.25"/>
    <row r="133" spans="1:8" ht="17" thickBot="1" x14ac:dyDescent="0.25">
      <c r="A133" s="5" t="s">
        <v>64</v>
      </c>
      <c r="B133" s="8"/>
      <c r="C133" s="8"/>
      <c r="D133" s="8"/>
      <c r="E133" s="8"/>
      <c r="F133" s="8"/>
      <c r="G133" s="8"/>
      <c r="H133" s="9"/>
    </row>
    <row r="135" spans="1:8" x14ac:dyDescent="0.2">
      <c r="A135" s="1" t="s">
        <v>65</v>
      </c>
    </row>
    <row r="136" spans="1:8" ht="17" thickBot="1" x14ac:dyDescent="0.25"/>
    <row r="137" spans="1:8" ht="17" thickBot="1" x14ac:dyDescent="0.25">
      <c r="A137" s="5" t="s">
        <v>66</v>
      </c>
      <c r="B137" s="8"/>
      <c r="C137" s="8"/>
      <c r="D137" s="8"/>
      <c r="E137" s="8"/>
      <c r="F137" s="8"/>
      <c r="G137" s="8"/>
      <c r="H137" s="9"/>
    </row>
    <row r="138" spans="1:8" ht="17" thickBot="1" x14ac:dyDescent="0.25"/>
    <row r="139" spans="1:8" ht="17" thickBot="1" x14ac:dyDescent="0.25">
      <c r="A139" s="15" t="s">
        <v>93</v>
      </c>
      <c r="B139" s="16"/>
      <c r="C139" s="16"/>
      <c r="D139" s="16"/>
      <c r="E139" s="16"/>
      <c r="F139" s="16"/>
      <c r="G139" s="16"/>
      <c r="H139" s="17"/>
    </row>
    <row r="141" spans="1:8" x14ac:dyDescent="0.2">
      <c r="A141" s="1" t="s">
        <v>845</v>
      </c>
    </row>
    <row r="142" spans="1:8" x14ac:dyDescent="0.2">
      <c r="A142" s="1" t="s">
        <v>67</v>
      </c>
    </row>
    <row r="143" spans="1:8" x14ac:dyDescent="0.2">
      <c r="A143" s="1" t="s">
        <v>844</v>
      </c>
    </row>
    <row r="144" spans="1:8" x14ac:dyDescent="0.2">
      <c r="A144" s="1" t="s">
        <v>68</v>
      </c>
    </row>
    <row r="146" spans="1:7" x14ac:dyDescent="0.2">
      <c r="A146" s="1" t="s">
        <v>78</v>
      </c>
    </row>
    <row r="148" spans="1:7" x14ac:dyDescent="0.2">
      <c r="A148" s="1" t="s">
        <v>79</v>
      </c>
    </row>
    <row r="149" spans="1:7" x14ac:dyDescent="0.2">
      <c r="A149" s="1" t="s">
        <v>846</v>
      </c>
    </row>
    <row r="150" spans="1:7" x14ac:dyDescent="0.2">
      <c r="A150" s="1" t="s">
        <v>847</v>
      </c>
    </row>
    <row r="151" spans="1:7" x14ac:dyDescent="0.2">
      <c r="A151" s="1" t="s">
        <v>848</v>
      </c>
    </row>
    <row r="153" spans="1:7" x14ac:dyDescent="0.2">
      <c r="A153" s="1" t="s">
        <v>80</v>
      </c>
    </row>
    <row r="154" spans="1:7" x14ac:dyDescent="0.2">
      <c r="A154" s="1" t="s">
        <v>81</v>
      </c>
    </row>
    <row r="156" spans="1:7" x14ac:dyDescent="0.2">
      <c r="A156" s="1" t="s">
        <v>82</v>
      </c>
    </row>
    <row r="157" spans="1:7" x14ac:dyDescent="0.2">
      <c r="A157" s="1" t="s">
        <v>83</v>
      </c>
    </row>
    <row r="159" spans="1:7" s="25" customFormat="1" x14ac:dyDescent="0.2">
      <c r="A159" s="25" t="s">
        <v>84</v>
      </c>
      <c r="F159" s="32" t="s">
        <v>118</v>
      </c>
      <c r="G159" s="25" t="s">
        <v>854</v>
      </c>
    </row>
    <row r="160" spans="1:7" s="25" customFormat="1" x14ac:dyDescent="0.2">
      <c r="A160" s="25" t="s">
        <v>85</v>
      </c>
      <c r="F160" s="32" t="s">
        <v>117</v>
      </c>
    </row>
    <row r="161" spans="1:9" s="25" customFormat="1" x14ac:dyDescent="0.2">
      <c r="A161" s="25" t="s">
        <v>855</v>
      </c>
      <c r="F161" s="32" t="s">
        <v>117</v>
      </c>
      <c r="G161" s="25" t="s">
        <v>856</v>
      </c>
    </row>
    <row r="162" spans="1:9" s="25" customFormat="1" x14ac:dyDescent="0.2">
      <c r="A162" s="25" t="s">
        <v>86</v>
      </c>
      <c r="F162" s="32" t="s">
        <v>117</v>
      </c>
      <c r="G162" s="25" t="s">
        <v>857</v>
      </c>
    </row>
    <row r="163" spans="1:9" s="25" customFormat="1" x14ac:dyDescent="0.2">
      <c r="A163" s="25" t="s">
        <v>87</v>
      </c>
      <c r="F163" s="32" t="s">
        <v>117</v>
      </c>
      <c r="G163" s="25" t="s">
        <v>856</v>
      </c>
    </row>
    <row r="165" spans="1:9" ht="17" thickBot="1" x14ac:dyDescent="0.25">
      <c r="A165" s="1" t="s">
        <v>88</v>
      </c>
    </row>
    <row r="166" spans="1:9" s="25" customFormat="1" x14ac:dyDescent="0.2">
      <c r="A166" s="22" t="s">
        <v>849</v>
      </c>
      <c r="B166" s="23"/>
      <c r="C166" s="23"/>
      <c r="D166" s="23"/>
      <c r="E166" s="23"/>
      <c r="F166" s="23"/>
      <c r="G166" s="23"/>
      <c r="H166" s="24"/>
      <c r="I166" s="25" t="s">
        <v>852</v>
      </c>
    </row>
    <row r="167" spans="1:9" s="25" customFormat="1" x14ac:dyDescent="0.2">
      <c r="A167" s="26" t="s">
        <v>89</v>
      </c>
      <c r="H167" s="27"/>
      <c r="I167" s="25" t="s">
        <v>850</v>
      </c>
    </row>
    <row r="168" spans="1:9" s="25" customFormat="1" ht="17" thickBot="1" x14ac:dyDescent="0.25">
      <c r="A168" s="28" t="s">
        <v>90</v>
      </c>
      <c r="B168" s="29"/>
      <c r="C168" s="29"/>
      <c r="D168" s="29"/>
      <c r="E168" s="29"/>
      <c r="F168" s="29"/>
      <c r="G168" s="29"/>
      <c r="H168" s="30"/>
      <c r="I168" s="25" t="s">
        <v>851</v>
      </c>
    </row>
    <row r="170" spans="1:9" ht="17" thickBot="1" x14ac:dyDescent="0.25">
      <c r="A170" s="1" t="s">
        <v>91</v>
      </c>
    </row>
    <row r="171" spans="1:9" s="25" customFormat="1" x14ac:dyDescent="0.2">
      <c r="A171" s="22" t="s">
        <v>858</v>
      </c>
      <c r="B171" s="23"/>
      <c r="C171" s="23"/>
      <c r="D171" s="23"/>
      <c r="E171" s="23"/>
      <c r="F171" s="23"/>
      <c r="G171" s="23"/>
      <c r="H171" s="125" t="s">
        <v>92</v>
      </c>
    </row>
    <row r="172" spans="1:9" s="25" customFormat="1" ht="17" thickBot="1" x14ac:dyDescent="0.25">
      <c r="A172" s="28" t="s">
        <v>853</v>
      </c>
      <c r="B172" s="29"/>
      <c r="C172" s="29"/>
      <c r="D172" s="29"/>
      <c r="E172" s="29"/>
      <c r="F172" s="29"/>
      <c r="G172" s="29"/>
      <c r="H172" s="30"/>
    </row>
    <row r="174" spans="1:9" x14ac:dyDescent="0.2">
      <c r="A174" s="1" t="s">
        <v>1958</v>
      </c>
    </row>
    <row r="176" spans="1:9" x14ac:dyDescent="0.2">
      <c r="A176" s="21" t="s">
        <v>872</v>
      </c>
      <c r="B176" s="21" t="s">
        <v>1961</v>
      </c>
      <c r="D176" s="21"/>
      <c r="E176" s="21"/>
    </row>
    <row r="177" spans="1:8" x14ac:dyDescent="0.2">
      <c r="A177" s="21" t="s">
        <v>1959</v>
      </c>
      <c r="B177" s="21" t="s">
        <v>1962</v>
      </c>
      <c r="C177" s="21" t="s">
        <v>1964</v>
      </c>
      <c r="D177" s="21" t="s">
        <v>72</v>
      </c>
      <c r="E177" s="21" t="s">
        <v>213</v>
      </c>
      <c r="G177" s="1" t="s">
        <v>1968</v>
      </c>
    </row>
    <row r="178" spans="1:8" x14ac:dyDescent="0.2">
      <c r="A178" s="21" t="s">
        <v>1960</v>
      </c>
      <c r="B178" s="21" t="s">
        <v>1963</v>
      </c>
      <c r="C178" s="21" t="s">
        <v>1965</v>
      </c>
      <c r="D178" s="21" t="s">
        <v>1307</v>
      </c>
      <c r="E178" s="21" t="s">
        <v>1966</v>
      </c>
      <c r="G178" s="1" t="s">
        <v>1969</v>
      </c>
    </row>
    <row r="179" spans="1:8" ht="17" thickBot="1" x14ac:dyDescent="0.25">
      <c r="A179" s="253" t="s">
        <v>71</v>
      </c>
      <c r="B179" s="253" t="s">
        <v>246</v>
      </c>
      <c r="C179" s="253" t="s">
        <v>92</v>
      </c>
      <c r="D179" s="253" t="s">
        <v>239</v>
      </c>
      <c r="E179" s="253" t="s">
        <v>1967</v>
      </c>
      <c r="G179" s="1" t="s">
        <v>1970</v>
      </c>
    </row>
    <row r="180" spans="1:8" x14ac:dyDescent="0.2">
      <c r="A180" s="21">
        <v>60</v>
      </c>
      <c r="B180" s="21">
        <v>100</v>
      </c>
      <c r="C180" s="21" t="s">
        <v>876</v>
      </c>
      <c r="D180" s="21">
        <v>0</v>
      </c>
      <c r="E180" s="21">
        <f>D180-20</f>
        <v>-20</v>
      </c>
      <c r="G180" s="1" t="s">
        <v>1971</v>
      </c>
    </row>
    <row r="181" spans="1:8" x14ac:dyDescent="0.2">
      <c r="A181" s="21">
        <v>70</v>
      </c>
      <c r="B181" s="21">
        <f>B180</f>
        <v>100</v>
      </c>
      <c r="C181" s="21" t="s">
        <v>876</v>
      </c>
      <c r="D181" s="21">
        <v>0</v>
      </c>
      <c r="E181" s="21">
        <f t="shared" ref="E181:E188" si="0">D181-20</f>
        <v>-20</v>
      </c>
      <c r="G181" s="1" t="s">
        <v>1972</v>
      </c>
    </row>
    <row r="182" spans="1:8" x14ac:dyDescent="0.2">
      <c r="A182" s="21">
        <v>80</v>
      </c>
      <c r="B182" s="21">
        <f t="shared" ref="B182:B188" si="1">B181</f>
        <v>100</v>
      </c>
      <c r="C182" s="21" t="s">
        <v>876</v>
      </c>
      <c r="D182" s="21">
        <v>0</v>
      </c>
      <c r="E182" s="21">
        <f t="shared" si="0"/>
        <v>-20</v>
      </c>
      <c r="G182" s="1" t="s">
        <v>940</v>
      </c>
      <c r="H182" s="4" t="s">
        <v>247</v>
      </c>
    </row>
    <row r="183" spans="1:8" x14ac:dyDescent="0.2">
      <c r="A183" s="21">
        <v>90</v>
      </c>
      <c r="B183" s="21">
        <f t="shared" si="1"/>
        <v>100</v>
      </c>
      <c r="C183" s="21" t="s">
        <v>876</v>
      </c>
      <c r="D183" s="21">
        <v>0</v>
      </c>
      <c r="E183" s="21">
        <f t="shared" si="0"/>
        <v>-20</v>
      </c>
      <c r="G183" s="1" t="s">
        <v>1974</v>
      </c>
      <c r="H183" s="1" t="s">
        <v>1973</v>
      </c>
    </row>
    <row r="184" spans="1:8" x14ac:dyDescent="0.2">
      <c r="A184" s="21">
        <v>100</v>
      </c>
      <c r="B184" s="21">
        <f t="shared" si="1"/>
        <v>100</v>
      </c>
      <c r="C184" s="21" t="s">
        <v>876</v>
      </c>
      <c r="D184" s="21">
        <v>0</v>
      </c>
      <c r="E184" s="21">
        <f t="shared" si="0"/>
        <v>-20</v>
      </c>
    </row>
    <row r="185" spans="1:8" x14ac:dyDescent="0.2">
      <c r="A185" s="21">
        <v>110</v>
      </c>
      <c r="B185" s="21">
        <f t="shared" si="1"/>
        <v>100</v>
      </c>
      <c r="C185" s="21" t="s">
        <v>313</v>
      </c>
      <c r="D185" s="21">
        <f>110-100</f>
        <v>10</v>
      </c>
      <c r="E185" s="21">
        <f t="shared" si="0"/>
        <v>-10</v>
      </c>
    </row>
    <row r="186" spans="1:8" x14ac:dyDescent="0.2">
      <c r="A186" s="21">
        <v>120</v>
      </c>
      <c r="B186" s="21">
        <f t="shared" si="1"/>
        <v>100</v>
      </c>
      <c r="C186" s="21" t="s">
        <v>313</v>
      </c>
      <c r="D186" s="21">
        <f>A186-B186</f>
        <v>20</v>
      </c>
      <c r="E186" s="21">
        <f t="shared" si="0"/>
        <v>0</v>
      </c>
    </row>
    <row r="187" spans="1:8" x14ac:dyDescent="0.2">
      <c r="A187" s="21">
        <v>130</v>
      </c>
      <c r="B187" s="21">
        <f t="shared" si="1"/>
        <v>100</v>
      </c>
      <c r="C187" s="21" t="s">
        <v>313</v>
      </c>
      <c r="D187" s="21">
        <f>A187-B187</f>
        <v>30</v>
      </c>
      <c r="E187" s="21">
        <f t="shared" si="0"/>
        <v>10</v>
      </c>
    </row>
    <row r="188" spans="1:8" x14ac:dyDescent="0.2">
      <c r="A188" s="21">
        <v>140</v>
      </c>
      <c r="B188" s="21">
        <f t="shared" si="1"/>
        <v>100</v>
      </c>
      <c r="C188" s="21" t="s">
        <v>313</v>
      </c>
      <c r="D188" s="21">
        <f>A188-B188</f>
        <v>40</v>
      </c>
      <c r="E188" s="21">
        <f t="shared" si="0"/>
        <v>20</v>
      </c>
    </row>
    <row r="190" spans="1:8" x14ac:dyDescent="0.2">
      <c r="A190" s="4" t="s">
        <v>1984</v>
      </c>
    </row>
    <row r="191" spans="1:8" x14ac:dyDescent="0.2">
      <c r="A191" s="1" t="s">
        <v>1975</v>
      </c>
    </row>
    <row r="192" spans="1:8" x14ac:dyDescent="0.2">
      <c r="A192" s="1" t="s">
        <v>1976</v>
      </c>
    </row>
    <row r="193" spans="1:9" x14ac:dyDescent="0.2">
      <c r="A193" s="1" t="s">
        <v>1977</v>
      </c>
    </row>
    <row r="194" spans="1:9" x14ac:dyDescent="0.2">
      <c r="A194" s="1" t="s">
        <v>1978</v>
      </c>
    </row>
    <row r="195" spans="1:9" x14ac:dyDescent="0.2">
      <c r="C195" s="1" t="s">
        <v>1979</v>
      </c>
    </row>
    <row r="196" spans="1:9" x14ac:dyDescent="0.2">
      <c r="C196" s="1" t="s">
        <v>1980</v>
      </c>
      <c r="G196" s="1" t="s">
        <v>900</v>
      </c>
    </row>
    <row r="197" spans="1:9" x14ac:dyDescent="0.2">
      <c r="A197" s="1" t="s">
        <v>1981</v>
      </c>
    </row>
    <row r="198" spans="1:9" x14ac:dyDescent="0.2">
      <c r="B198" s="1" t="s">
        <v>1982</v>
      </c>
    </row>
    <row r="199" spans="1:9" x14ac:dyDescent="0.2">
      <c r="G199" s="1" t="s">
        <v>1983</v>
      </c>
    </row>
    <row r="201" spans="1:9" x14ac:dyDescent="0.2">
      <c r="A201" s="4" t="s">
        <v>859</v>
      </c>
    </row>
    <row r="202" spans="1:9" x14ac:dyDescent="0.2">
      <c r="A202" s="1" t="s">
        <v>860</v>
      </c>
    </row>
    <row r="203" spans="1:9" x14ac:dyDescent="0.2">
      <c r="A203" s="1" t="s">
        <v>861</v>
      </c>
    </row>
    <row r="204" spans="1:9" x14ac:dyDescent="0.2">
      <c r="A204" s="1" t="s">
        <v>862</v>
      </c>
    </row>
    <row r="205" spans="1:9" x14ac:dyDescent="0.2">
      <c r="A205" s="1" t="s">
        <v>863</v>
      </c>
    </row>
    <row r="208" spans="1:9" ht="36" x14ac:dyDescent="0.4">
      <c r="A208" s="126"/>
      <c r="B208" s="126"/>
      <c r="C208" s="126"/>
      <c r="D208" s="126"/>
      <c r="E208" s="126"/>
      <c r="F208" s="126"/>
      <c r="G208" s="126"/>
      <c r="H208" s="126"/>
      <c r="I208" s="126"/>
    </row>
    <row r="209" spans="1:8" ht="17" thickBot="1" x14ac:dyDescent="0.25"/>
    <row r="210" spans="1:8" ht="17" thickBot="1" x14ac:dyDescent="0.25">
      <c r="A210" s="15" t="s">
        <v>1985</v>
      </c>
      <c r="B210" s="16"/>
      <c r="C210" s="16"/>
      <c r="D210" s="16"/>
      <c r="E210" s="16"/>
      <c r="F210" s="16"/>
      <c r="G210" s="16" t="s">
        <v>245</v>
      </c>
      <c r="H210" s="17"/>
    </row>
    <row r="212" spans="1:8" x14ac:dyDescent="0.2">
      <c r="A212" s="1" t="s">
        <v>95</v>
      </c>
    </row>
    <row r="213" spans="1:8" x14ac:dyDescent="0.2">
      <c r="A213" s="1" t="s">
        <v>96</v>
      </c>
    </row>
    <row r="214" spans="1:8" x14ac:dyDescent="0.2">
      <c r="A214" s="1" t="s">
        <v>97</v>
      </c>
    </row>
    <row r="215" spans="1:8" x14ac:dyDescent="0.2">
      <c r="A215" s="1" t="s">
        <v>98</v>
      </c>
    </row>
    <row r="217" spans="1:8" x14ac:dyDescent="0.2">
      <c r="A217" s="4" t="s">
        <v>134</v>
      </c>
    </row>
    <row r="219" spans="1:8" x14ac:dyDescent="0.2">
      <c r="A219" s="14" t="s">
        <v>69</v>
      </c>
      <c r="B219" s="14" t="s">
        <v>72</v>
      </c>
      <c r="C219" s="14" t="s">
        <v>75</v>
      </c>
    </row>
    <row r="220" spans="1:8" x14ac:dyDescent="0.2">
      <c r="A220" s="14" t="s">
        <v>70</v>
      </c>
      <c r="B220" s="14" t="s">
        <v>73</v>
      </c>
      <c r="C220" s="14" t="s">
        <v>76</v>
      </c>
    </row>
    <row r="221" spans="1:8" x14ac:dyDescent="0.2">
      <c r="A221" s="14" t="s">
        <v>71</v>
      </c>
      <c r="B221" s="14" t="s">
        <v>74</v>
      </c>
      <c r="C221" s="14" t="s">
        <v>77</v>
      </c>
    </row>
    <row r="222" spans="1:8" x14ac:dyDescent="0.2">
      <c r="A222" s="14">
        <v>20</v>
      </c>
      <c r="B222" s="34"/>
      <c r="C222" s="34"/>
    </row>
    <row r="223" spans="1:8" x14ac:dyDescent="0.2">
      <c r="A223" s="14">
        <f>A222+10</f>
        <v>30</v>
      </c>
      <c r="B223" s="34"/>
      <c r="C223" s="34"/>
    </row>
    <row r="224" spans="1:8" x14ac:dyDescent="0.2">
      <c r="A224" s="14">
        <f t="shared" ref="A224:A232" si="2">A223+10</f>
        <v>40</v>
      </c>
      <c r="B224" s="34"/>
      <c r="C224" s="34"/>
    </row>
    <row r="225" spans="1:3" x14ac:dyDescent="0.2">
      <c r="A225" s="14">
        <f t="shared" si="2"/>
        <v>50</v>
      </c>
      <c r="B225" s="34"/>
      <c r="C225" s="34"/>
    </row>
    <row r="226" spans="1:3" x14ac:dyDescent="0.2">
      <c r="A226" s="14">
        <f t="shared" si="2"/>
        <v>60</v>
      </c>
      <c r="B226" s="34"/>
      <c r="C226" s="34"/>
    </row>
    <row r="227" spans="1:3" x14ac:dyDescent="0.2">
      <c r="A227" s="14">
        <f t="shared" si="2"/>
        <v>70</v>
      </c>
      <c r="B227" s="34"/>
      <c r="C227" s="34"/>
    </row>
    <row r="228" spans="1:3" x14ac:dyDescent="0.2">
      <c r="A228" s="14">
        <f t="shared" si="2"/>
        <v>80</v>
      </c>
      <c r="B228" s="34"/>
      <c r="C228" s="34"/>
    </row>
    <row r="229" spans="1:3" x14ac:dyDescent="0.2">
      <c r="A229" s="14">
        <f t="shared" si="2"/>
        <v>90</v>
      </c>
      <c r="B229" s="34"/>
      <c r="C229" s="34"/>
    </row>
    <row r="230" spans="1:3" x14ac:dyDescent="0.2">
      <c r="A230" s="14">
        <f t="shared" si="2"/>
        <v>100</v>
      </c>
      <c r="B230" s="34"/>
      <c r="C230" s="34"/>
    </row>
    <row r="231" spans="1:3" x14ac:dyDescent="0.2">
      <c r="A231" s="14">
        <f t="shared" si="2"/>
        <v>110</v>
      </c>
      <c r="B231" s="34"/>
      <c r="C231" s="34"/>
    </row>
    <row r="232" spans="1:3" x14ac:dyDescent="0.2">
      <c r="A232" s="14">
        <f t="shared" si="2"/>
        <v>120</v>
      </c>
      <c r="B232" s="34"/>
      <c r="C232" s="34"/>
    </row>
    <row r="233" spans="1:3" x14ac:dyDescent="0.2">
      <c r="A233" s="14">
        <f>A232+10</f>
        <v>130</v>
      </c>
      <c r="B233" s="34"/>
      <c r="C233" s="34"/>
    </row>
    <row r="236" spans="1:3" x14ac:dyDescent="0.2">
      <c r="A236" s="4" t="s">
        <v>131</v>
      </c>
    </row>
    <row r="239" spans="1:3" x14ac:dyDescent="0.2">
      <c r="A239" s="14" t="s">
        <v>69</v>
      </c>
      <c r="B239" s="14" t="s">
        <v>72</v>
      </c>
      <c r="C239" s="14" t="s">
        <v>75</v>
      </c>
    </row>
    <row r="240" spans="1:3" x14ac:dyDescent="0.2">
      <c r="A240" s="14" t="s">
        <v>70</v>
      </c>
      <c r="B240" s="14" t="s">
        <v>73</v>
      </c>
      <c r="C240" s="14" t="s">
        <v>76</v>
      </c>
    </row>
    <row r="241" spans="1:3" x14ac:dyDescent="0.2">
      <c r="A241" s="14" t="s">
        <v>71</v>
      </c>
      <c r="B241" s="14" t="s">
        <v>74</v>
      </c>
      <c r="C241" s="14" t="s">
        <v>77</v>
      </c>
    </row>
    <row r="242" spans="1:3" x14ac:dyDescent="0.2">
      <c r="A242" s="14">
        <v>20</v>
      </c>
      <c r="B242" s="34">
        <v>0</v>
      </c>
      <c r="C242" s="34">
        <f>B242-10</f>
        <v>-10</v>
      </c>
    </row>
    <row r="243" spans="1:3" x14ac:dyDescent="0.2">
      <c r="A243" s="14">
        <f>A242+10</f>
        <v>30</v>
      </c>
      <c r="B243" s="34">
        <v>0</v>
      </c>
      <c r="C243" s="34">
        <f t="shared" ref="C243:C253" si="3">B243-10</f>
        <v>-10</v>
      </c>
    </row>
    <row r="244" spans="1:3" x14ac:dyDescent="0.2">
      <c r="A244" s="14">
        <f t="shared" ref="A244:A252" si="4">A243+10</f>
        <v>40</v>
      </c>
      <c r="B244" s="34">
        <v>0</v>
      </c>
      <c r="C244" s="34">
        <f t="shared" si="3"/>
        <v>-10</v>
      </c>
    </row>
    <row r="245" spans="1:3" x14ac:dyDescent="0.2">
      <c r="A245" s="14">
        <f t="shared" si="4"/>
        <v>50</v>
      </c>
      <c r="B245" s="34">
        <v>0</v>
      </c>
      <c r="C245" s="34">
        <f t="shared" si="3"/>
        <v>-10</v>
      </c>
    </row>
    <row r="246" spans="1:3" x14ac:dyDescent="0.2">
      <c r="A246" s="14">
        <f t="shared" si="4"/>
        <v>60</v>
      </c>
      <c r="B246" s="34">
        <v>0</v>
      </c>
      <c r="C246" s="34">
        <f t="shared" si="3"/>
        <v>-10</v>
      </c>
    </row>
    <row r="247" spans="1:3" x14ac:dyDescent="0.2">
      <c r="A247" s="14">
        <f t="shared" si="4"/>
        <v>70</v>
      </c>
      <c r="B247" s="34">
        <f>A247-60</f>
        <v>10</v>
      </c>
      <c r="C247" s="34">
        <f t="shared" si="3"/>
        <v>0</v>
      </c>
    </row>
    <row r="248" spans="1:3" x14ac:dyDescent="0.2">
      <c r="A248" s="14">
        <f t="shared" si="4"/>
        <v>80</v>
      </c>
      <c r="B248" s="34">
        <f t="shared" ref="B248:B252" si="5">A248-60</f>
        <v>20</v>
      </c>
      <c r="C248" s="34">
        <f t="shared" si="3"/>
        <v>10</v>
      </c>
    </row>
    <row r="249" spans="1:3" x14ac:dyDescent="0.2">
      <c r="A249" s="14">
        <f t="shared" si="4"/>
        <v>90</v>
      </c>
      <c r="B249" s="34">
        <f t="shared" si="5"/>
        <v>30</v>
      </c>
      <c r="C249" s="34">
        <f t="shared" si="3"/>
        <v>20</v>
      </c>
    </row>
    <row r="250" spans="1:3" x14ac:dyDescent="0.2">
      <c r="A250" s="14">
        <f t="shared" si="4"/>
        <v>100</v>
      </c>
      <c r="B250" s="34">
        <f t="shared" si="5"/>
        <v>40</v>
      </c>
      <c r="C250" s="34">
        <f t="shared" si="3"/>
        <v>30</v>
      </c>
    </row>
    <row r="251" spans="1:3" x14ac:dyDescent="0.2">
      <c r="A251" s="14">
        <f t="shared" si="4"/>
        <v>110</v>
      </c>
      <c r="B251" s="34">
        <f t="shared" si="5"/>
        <v>50</v>
      </c>
      <c r="C251" s="34">
        <f t="shared" si="3"/>
        <v>40</v>
      </c>
    </row>
    <row r="252" spans="1:3" x14ac:dyDescent="0.2">
      <c r="A252" s="14">
        <f t="shared" si="4"/>
        <v>120</v>
      </c>
      <c r="B252" s="34">
        <f t="shared" si="5"/>
        <v>60</v>
      </c>
      <c r="C252" s="34">
        <f t="shared" si="3"/>
        <v>50</v>
      </c>
    </row>
    <row r="253" spans="1:3" x14ac:dyDescent="0.2">
      <c r="A253" s="14">
        <f>A252+10</f>
        <v>130</v>
      </c>
      <c r="B253" s="34">
        <f>A253-60</f>
        <v>70</v>
      </c>
      <c r="C253" s="34">
        <f t="shared" si="3"/>
        <v>60</v>
      </c>
    </row>
  </sheetData>
  <pageMargins left="0.7" right="0.7" top="0.75" bottom="0.75" header="0.3" footer="0.3"/>
  <pageSetup paperSize="9" scale="84" orientation="portrait" horizontalDpi="0" verticalDpi="0"/>
  <colBreaks count="1" manualBreakCount="1">
    <brk id="9" max="1048575" man="1"/>
  </colBreaks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BAD037-1274-F449-9075-B000E6877060}">
  <dimension ref="A1:K146"/>
  <sheetViews>
    <sheetView rightToLeft="1" topLeftCell="A94" zoomScale="200" zoomScaleNormal="380" zoomScaleSheetLayoutView="396" workbookViewId="0">
      <selection activeCell="C92" sqref="C92"/>
    </sheetView>
  </sheetViews>
  <sheetFormatPr baseColWidth="10" defaultRowHeight="16" x14ac:dyDescent="0.2"/>
  <cols>
    <col min="1" max="2" width="10.83203125" style="1"/>
    <col min="3" max="3" width="11.1640625" style="1" customWidth="1"/>
    <col min="4" max="16384" width="10.83203125" style="1"/>
  </cols>
  <sheetData>
    <row r="1" spans="1:9" x14ac:dyDescent="0.2">
      <c r="A1" s="2" t="s">
        <v>207</v>
      </c>
      <c r="B1" s="2"/>
      <c r="C1" s="2"/>
      <c r="D1" s="2"/>
      <c r="E1" s="2"/>
      <c r="F1" s="2"/>
      <c r="G1" s="2"/>
      <c r="H1" s="3">
        <v>45609</v>
      </c>
    </row>
    <row r="3" spans="1:9" x14ac:dyDescent="0.2">
      <c r="A3" s="1" t="s">
        <v>135</v>
      </c>
    </row>
    <row r="4" spans="1:9" x14ac:dyDescent="0.2">
      <c r="A4" s="1" t="s">
        <v>136</v>
      </c>
    </row>
    <row r="5" spans="1:9" x14ac:dyDescent="0.2">
      <c r="A5" s="1" t="s">
        <v>137</v>
      </c>
    </row>
    <row r="6" spans="1:9" x14ac:dyDescent="0.2">
      <c r="A6" s="1" t="s">
        <v>2005</v>
      </c>
    </row>
    <row r="7" spans="1:9" ht="17" thickBot="1" x14ac:dyDescent="0.25"/>
    <row r="8" spans="1:9" x14ac:dyDescent="0.2">
      <c r="A8" s="272" t="s">
        <v>864</v>
      </c>
      <c r="B8" s="273"/>
      <c r="C8" s="273"/>
      <c r="D8" s="273"/>
      <c r="E8" s="273"/>
      <c r="F8" s="273"/>
      <c r="G8" s="273"/>
      <c r="H8" s="273"/>
      <c r="I8" s="274"/>
    </row>
    <row r="9" spans="1:9" x14ac:dyDescent="0.2">
      <c r="A9" s="41" t="s">
        <v>865</v>
      </c>
      <c r="I9" s="42"/>
    </row>
    <row r="10" spans="1:9" x14ac:dyDescent="0.2">
      <c r="A10" s="41" t="s">
        <v>866</v>
      </c>
      <c r="I10" s="42"/>
    </row>
    <row r="11" spans="1:9" x14ac:dyDescent="0.2">
      <c r="A11" s="41" t="s">
        <v>867</v>
      </c>
      <c r="I11" s="42"/>
    </row>
    <row r="12" spans="1:9" ht="17" thickBot="1" x14ac:dyDescent="0.25">
      <c r="A12" s="43" t="s">
        <v>868</v>
      </c>
      <c r="B12" s="44"/>
      <c r="C12" s="44"/>
      <c r="D12" s="253" t="s">
        <v>92</v>
      </c>
      <c r="E12" s="44" t="s">
        <v>869</v>
      </c>
      <c r="F12" s="44"/>
      <c r="G12" s="44"/>
      <c r="H12" s="44"/>
      <c r="I12" s="45"/>
    </row>
    <row r="13" spans="1:9" ht="17" thickBot="1" x14ac:dyDescent="0.25"/>
    <row r="14" spans="1:9" ht="17" thickBot="1" x14ac:dyDescent="0.25">
      <c r="A14" s="269" t="s">
        <v>1989</v>
      </c>
      <c r="B14" s="270"/>
      <c r="C14" s="270"/>
      <c r="D14" s="270"/>
      <c r="E14" s="270"/>
      <c r="F14" s="270"/>
      <c r="G14" s="270"/>
      <c r="H14" s="270"/>
      <c r="I14" s="271"/>
    </row>
    <row r="15" spans="1:9" x14ac:dyDescent="0.2">
      <c r="A15" s="1" t="s">
        <v>870</v>
      </c>
    </row>
    <row r="16" spans="1:9" x14ac:dyDescent="0.2">
      <c r="A16" s="1" t="s">
        <v>871</v>
      </c>
    </row>
    <row r="17" spans="1:9" x14ac:dyDescent="0.2">
      <c r="A17" s="1" t="s">
        <v>874</v>
      </c>
    </row>
    <row r="19" spans="1:9" x14ac:dyDescent="0.2">
      <c r="B19" s="279" t="s">
        <v>2006</v>
      </c>
    </row>
    <row r="20" spans="1:9" x14ac:dyDescent="0.2">
      <c r="B20" s="279" t="s">
        <v>875</v>
      </c>
    </row>
    <row r="21" spans="1:9" x14ac:dyDescent="0.2">
      <c r="B21" s="278" t="s">
        <v>145</v>
      </c>
    </row>
    <row r="22" spans="1:9" x14ac:dyDescent="0.2">
      <c r="B22" s="278"/>
      <c r="C22" s="280" t="s">
        <v>128</v>
      </c>
      <c r="D22" s="329" t="s">
        <v>2021</v>
      </c>
      <c r="E22" s="329"/>
    </row>
    <row r="23" spans="1:9" x14ac:dyDescent="0.2">
      <c r="B23" s="278" t="s">
        <v>2007</v>
      </c>
      <c r="C23" s="21" t="s">
        <v>72</v>
      </c>
      <c r="D23" s="281" t="s">
        <v>2014</v>
      </c>
    </row>
    <row r="24" spans="1:9" x14ac:dyDescent="0.2">
      <c r="B24" s="278" t="s">
        <v>2008</v>
      </c>
      <c r="C24" s="21" t="s">
        <v>2019</v>
      </c>
      <c r="D24" s="281" t="s">
        <v>877</v>
      </c>
    </row>
    <row r="25" spans="1:9" x14ac:dyDescent="0.2">
      <c r="B25" s="278" t="s">
        <v>2009</v>
      </c>
      <c r="C25" s="21" t="s">
        <v>144</v>
      </c>
      <c r="D25" s="281" t="s">
        <v>2015</v>
      </c>
      <c r="H25" s="21" t="s">
        <v>262</v>
      </c>
    </row>
    <row r="26" spans="1:9" x14ac:dyDescent="0.2">
      <c r="A26" s="21" t="s">
        <v>872</v>
      </c>
      <c r="B26" s="278" t="s">
        <v>2010</v>
      </c>
      <c r="C26" s="21" t="s">
        <v>2020</v>
      </c>
      <c r="D26" s="281" t="s">
        <v>2016</v>
      </c>
      <c r="H26" s="21" t="s">
        <v>239</v>
      </c>
    </row>
    <row r="27" spans="1:9" x14ac:dyDescent="0.2">
      <c r="A27" s="21" t="s">
        <v>873</v>
      </c>
      <c r="B27" s="127" t="s">
        <v>2011</v>
      </c>
      <c r="C27" s="280" t="s">
        <v>2013</v>
      </c>
      <c r="D27" s="281" t="s">
        <v>2017</v>
      </c>
      <c r="I27" s="129"/>
    </row>
    <row r="28" spans="1:9" x14ac:dyDescent="0.2">
      <c r="A28" s="75" t="s">
        <v>71</v>
      </c>
      <c r="B28" s="75"/>
      <c r="C28" s="75"/>
      <c r="D28" s="282" t="s">
        <v>2018</v>
      </c>
      <c r="I28" s="31"/>
    </row>
    <row r="29" spans="1:9" x14ac:dyDescent="0.2">
      <c r="A29" s="122">
        <v>50</v>
      </c>
      <c r="B29" s="21" t="s">
        <v>2011</v>
      </c>
      <c r="C29" s="21">
        <v>0</v>
      </c>
      <c r="D29" s="21">
        <f t="shared" ref="D29:D34" si="0">0-20</f>
        <v>-20</v>
      </c>
    </row>
    <row r="30" spans="1:9" x14ac:dyDescent="0.2">
      <c r="A30" s="122">
        <f>A29+10</f>
        <v>60</v>
      </c>
      <c r="B30" s="21" t="s">
        <v>2011</v>
      </c>
      <c r="C30" s="21">
        <v>0</v>
      </c>
      <c r="D30" s="21">
        <f t="shared" si="0"/>
        <v>-20</v>
      </c>
      <c r="F30" s="129"/>
    </row>
    <row r="31" spans="1:9" x14ac:dyDescent="0.2">
      <c r="A31" s="122">
        <f>A30+10</f>
        <v>70</v>
      </c>
      <c r="B31" s="21" t="s">
        <v>2011</v>
      </c>
      <c r="C31" s="21">
        <v>0</v>
      </c>
      <c r="D31" s="21">
        <f t="shared" si="0"/>
        <v>-20</v>
      </c>
    </row>
    <row r="32" spans="1:9" x14ac:dyDescent="0.2">
      <c r="A32" s="122">
        <f>A31+10</f>
        <v>80</v>
      </c>
      <c r="B32" s="21" t="s">
        <v>2011</v>
      </c>
      <c r="C32" s="21">
        <v>0</v>
      </c>
      <c r="D32" s="21">
        <f t="shared" si="0"/>
        <v>-20</v>
      </c>
      <c r="F32" s="48"/>
    </row>
    <row r="33" spans="1:9" x14ac:dyDescent="0.2">
      <c r="A33" s="122">
        <f>A32+10</f>
        <v>90</v>
      </c>
      <c r="B33" s="21" t="s">
        <v>2011</v>
      </c>
      <c r="C33" s="21">
        <v>0</v>
      </c>
      <c r="D33" s="21">
        <f t="shared" si="0"/>
        <v>-20</v>
      </c>
    </row>
    <row r="34" spans="1:9" x14ac:dyDescent="0.2">
      <c r="A34" s="60">
        <v>100</v>
      </c>
      <c r="B34" s="21" t="s">
        <v>2011</v>
      </c>
      <c r="C34" s="21">
        <v>0</v>
      </c>
      <c r="D34" s="21">
        <f t="shared" si="0"/>
        <v>-20</v>
      </c>
    </row>
    <row r="35" spans="1:9" x14ac:dyDescent="0.2">
      <c r="A35" s="128">
        <f>A34+10</f>
        <v>110</v>
      </c>
      <c r="B35" s="21" t="s">
        <v>2012</v>
      </c>
      <c r="C35" s="21">
        <f>110-100</f>
        <v>10</v>
      </c>
      <c r="D35" s="21">
        <f>10-20</f>
        <v>-10</v>
      </c>
      <c r="E35" s="21" t="s">
        <v>71</v>
      </c>
    </row>
    <row r="36" spans="1:9" x14ac:dyDescent="0.2">
      <c r="A36" s="128">
        <f>A35+10</f>
        <v>120</v>
      </c>
      <c r="B36" s="21" t="s">
        <v>2012</v>
      </c>
      <c r="C36" s="21">
        <f>120-100</f>
        <v>20</v>
      </c>
      <c r="D36" s="21">
        <f>20-20</f>
        <v>0</v>
      </c>
    </row>
    <row r="37" spans="1:9" x14ac:dyDescent="0.2">
      <c r="A37" s="128">
        <f>A36+10</f>
        <v>130</v>
      </c>
      <c r="B37" s="21" t="s">
        <v>2012</v>
      </c>
      <c r="C37" s="21">
        <f>130-100</f>
        <v>30</v>
      </c>
      <c r="D37" s="21">
        <f>30-20</f>
        <v>10</v>
      </c>
      <c r="F37" s="21"/>
    </row>
    <row r="38" spans="1:9" x14ac:dyDescent="0.2">
      <c r="A38" s="128">
        <f>A37+10</f>
        <v>140</v>
      </c>
      <c r="B38" s="21" t="s">
        <v>2012</v>
      </c>
      <c r="C38" s="21">
        <f>140-100</f>
        <v>40</v>
      </c>
      <c r="D38" s="21">
        <f>40-20</f>
        <v>20</v>
      </c>
      <c r="G38" s="329"/>
      <c r="H38" s="329"/>
      <c r="I38" s="104"/>
    </row>
    <row r="39" spans="1:9" x14ac:dyDescent="0.2">
      <c r="A39" s="128">
        <f>A38+10</f>
        <v>150</v>
      </c>
      <c r="B39" s="21" t="s">
        <v>2012</v>
      </c>
      <c r="C39" s="21">
        <f>150-100</f>
        <v>50</v>
      </c>
      <c r="D39" s="21">
        <f>50-20</f>
        <v>30</v>
      </c>
    </row>
    <row r="40" spans="1:9" x14ac:dyDescent="0.2">
      <c r="I40" s="104"/>
    </row>
    <row r="42" spans="1:9" x14ac:dyDescent="0.2">
      <c r="A42" s="4" t="s">
        <v>878</v>
      </c>
    </row>
    <row r="43" spans="1:9" x14ac:dyDescent="0.2">
      <c r="A43" s="1" t="s">
        <v>879</v>
      </c>
    </row>
    <row r="44" spans="1:9" x14ac:dyDescent="0.2">
      <c r="A44" s="1" t="s">
        <v>880</v>
      </c>
    </row>
    <row r="45" spans="1:9" x14ac:dyDescent="0.2">
      <c r="A45" s="1" t="s">
        <v>881</v>
      </c>
    </row>
    <row r="46" spans="1:9" x14ac:dyDescent="0.2">
      <c r="A46" s="1" t="s">
        <v>882</v>
      </c>
    </row>
    <row r="47" spans="1:9" x14ac:dyDescent="0.2">
      <c r="A47" s="1" t="s">
        <v>883</v>
      </c>
    </row>
    <row r="48" spans="1:9" x14ac:dyDescent="0.2">
      <c r="A48" s="1" t="s">
        <v>884</v>
      </c>
    </row>
    <row r="50" spans="1:8" x14ac:dyDescent="0.2">
      <c r="A50" s="4" t="s">
        <v>885</v>
      </c>
    </row>
    <row r="51" spans="1:8" x14ac:dyDescent="0.2">
      <c r="A51" s="1" t="s">
        <v>886</v>
      </c>
    </row>
    <row r="52" spans="1:8" x14ac:dyDescent="0.2">
      <c r="A52" s="1" t="s">
        <v>887</v>
      </c>
    </row>
    <row r="53" spans="1:8" x14ac:dyDescent="0.2">
      <c r="A53" s="1" t="s">
        <v>888</v>
      </c>
    </row>
    <row r="54" spans="1:8" x14ac:dyDescent="0.2">
      <c r="A54" s="1" t="s">
        <v>889</v>
      </c>
    </row>
    <row r="55" spans="1:8" x14ac:dyDescent="0.2">
      <c r="A55" s="1" t="s">
        <v>890</v>
      </c>
    </row>
    <row r="56" spans="1:8" x14ac:dyDescent="0.2">
      <c r="A56" s="1" t="s">
        <v>891</v>
      </c>
    </row>
    <row r="57" spans="1:8" ht="17" thickBot="1" x14ac:dyDescent="0.25"/>
    <row r="58" spans="1:8" x14ac:dyDescent="0.2">
      <c r="A58" s="130" t="s">
        <v>119</v>
      </c>
      <c r="B58" s="131" t="s">
        <v>120</v>
      </c>
      <c r="C58" s="131" t="s">
        <v>121</v>
      </c>
      <c r="D58" s="39"/>
      <c r="E58" s="39"/>
      <c r="F58" s="39"/>
      <c r="G58" s="39"/>
      <c r="H58" s="40"/>
    </row>
    <row r="59" spans="1:8" x14ac:dyDescent="0.2">
      <c r="A59" s="132"/>
      <c r="B59" s="31"/>
      <c r="C59" s="33" t="s">
        <v>122</v>
      </c>
      <c r="H59" s="42"/>
    </row>
    <row r="60" spans="1:8" x14ac:dyDescent="0.2">
      <c r="A60" s="132"/>
      <c r="B60" s="31"/>
      <c r="C60" s="33" t="s">
        <v>123</v>
      </c>
      <c r="H60" s="42"/>
    </row>
    <row r="61" spans="1:8" x14ac:dyDescent="0.2">
      <c r="A61" s="132"/>
      <c r="B61" s="32" t="s">
        <v>124</v>
      </c>
      <c r="C61" s="33" t="s">
        <v>125</v>
      </c>
      <c r="H61" s="42"/>
    </row>
    <row r="62" spans="1:8" x14ac:dyDescent="0.2">
      <c r="A62" s="132"/>
      <c r="B62" s="31"/>
      <c r="C62" s="33" t="s">
        <v>126</v>
      </c>
      <c r="G62" s="1" t="s">
        <v>127</v>
      </c>
      <c r="H62" s="42" t="s">
        <v>128</v>
      </c>
    </row>
    <row r="63" spans="1:8" ht="17" thickBot="1" x14ac:dyDescent="0.25">
      <c r="A63" s="133"/>
      <c r="B63" s="134"/>
      <c r="C63" s="135" t="s">
        <v>129</v>
      </c>
      <c r="D63" s="44"/>
      <c r="E63" s="44"/>
      <c r="F63" s="44"/>
      <c r="G63" s="44"/>
      <c r="H63" s="45"/>
    </row>
    <row r="64" spans="1:8" ht="17" thickBot="1" x14ac:dyDescent="0.25"/>
    <row r="65" spans="1:11" ht="17" thickBot="1" x14ac:dyDescent="0.25">
      <c r="A65" s="15" t="s">
        <v>94</v>
      </c>
      <c r="B65" s="16"/>
      <c r="C65" s="16"/>
      <c r="D65" s="16"/>
      <c r="E65" s="16"/>
      <c r="F65" s="16"/>
      <c r="G65" s="16"/>
      <c r="H65" s="17"/>
    </row>
    <row r="67" spans="1:11" x14ac:dyDescent="0.2">
      <c r="A67" s="1" t="s">
        <v>95</v>
      </c>
    </row>
    <row r="68" spans="1:11" x14ac:dyDescent="0.2">
      <c r="A68" s="1" t="s">
        <v>96</v>
      </c>
    </row>
    <row r="69" spans="1:11" x14ac:dyDescent="0.2">
      <c r="A69" s="1" t="s">
        <v>97</v>
      </c>
    </row>
    <row r="70" spans="1:11" x14ac:dyDescent="0.2">
      <c r="A70" s="1" t="s">
        <v>98</v>
      </c>
    </row>
    <row r="72" spans="1:11" x14ac:dyDescent="0.2">
      <c r="A72" s="4" t="s">
        <v>134</v>
      </c>
    </row>
    <row r="74" spans="1:11" x14ac:dyDescent="0.2">
      <c r="A74" s="14" t="s">
        <v>69</v>
      </c>
      <c r="B74" s="14" t="s">
        <v>72</v>
      </c>
      <c r="C74" s="14" t="s">
        <v>75</v>
      </c>
      <c r="E74" s="1" t="s">
        <v>132</v>
      </c>
      <c r="I74" s="1" t="s">
        <v>892</v>
      </c>
    </row>
    <row r="75" spans="1:11" x14ac:dyDescent="0.2">
      <c r="A75" s="14" t="s">
        <v>70</v>
      </c>
      <c r="B75" s="14" t="s">
        <v>73</v>
      </c>
      <c r="C75" s="14" t="s">
        <v>76</v>
      </c>
      <c r="E75" s="1" t="s">
        <v>133</v>
      </c>
      <c r="I75" s="1" t="s">
        <v>893</v>
      </c>
    </row>
    <row r="76" spans="1:11" x14ac:dyDescent="0.2">
      <c r="A76" s="14" t="s">
        <v>71</v>
      </c>
      <c r="B76" s="14" t="s">
        <v>74</v>
      </c>
      <c r="C76" s="14" t="s">
        <v>77</v>
      </c>
      <c r="I76" s="1" t="s">
        <v>894</v>
      </c>
    </row>
    <row r="77" spans="1:11" x14ac:dyDescent="0.2">
      <c r="A77" s="137">
        <v>20</v>
      </c>
      <c r="B77" s="34">
        <v>0</v>
      </c>
      <c r="C77" s="34">
        <f>0-10</f>
        <v>-10</v>
      </c>
    </row>
    <row r="78" spans="1:11" x14ac:dyDescent="0.2">
      <c r="A78" s="137">
        <f t="shared" ref="A78:A88" si="1">A77+10</f>
        <v>30</v>
      </c>
      <c r="B78" s="34">
        <v>0</v>
      </c>
      <c r="C78" s="34">
        <f>0-10</f>
        <v>-10</v>
      </c>
      <c r="I78" s="1" t="s">
        <v>895</v>
      </c>
    </row>
    <row r="79" spans="1:11" x14ac:dyDescent="0.2">
      <c r="A79" s="137">
        <f t="shared" si="1"/>
        <v>40</v>
      </c>
      <c r="B79" s="34">
        <v>0</v>
      </c>
      <c r="C79" s="34">
        <f t="shared" ref="C79:C88" si="2">B79-10</f>
        <v>-10</v>
      </c>
      <c r="I79" s="1" t="s">
        <v>896</v>
      </c>
      <c r="J79" s="21" t="s">
        <v>897</v>
      </c>
      <c r="K79" s="1" t="s">
        <v>898</v>
      </c>
    </row>
    <row r="80" spans="1:11" x14ac:dyDescent="0.2">
      <c r="A80" s="137">
        <f t="shared" si="1"/>
        <v>50</v>
      </c>
      <c r="B80" s="34">
        <v>0</v>
      </c>
      <c r="C80" s="34">
        <f t="shared" si="2"/>
        <v>-10</v>
      </c>
      <c r="I80" s="1" t="s">
        <v>899</v>
      </c>
      <c r="J80" s="21" t="s">
        <v>92</v>
      </c>
      <c r="K80" s="1" t="s">
        <v>900</v>
      </c>
    </row>
    <row r="81" spans="1:11" x14ac:dyDescent="0.2">
      <c r="A81" s="136">
        <f t="shared" si="1"/>
        <v>60</v>
      </c>
      <c r="B81" s="34">
        <v>0</v>
      </c>
      <c r="C81" s="34">
        <f t="shared" si="2"/>
        <v>-10</v>
      </c>
    </row>
    <row r="82" spans="1:11" x14ac:dyDescent="0.2">
      <c r="A82" s="138">
        <f t="shared" si="1"/>
        <v>70</v>
      </c>
      <c r="B82" s="34">
        <f>70-60</f>
        <v>10</v>
      </c>
      <c r="C82" s="34">
        <f t="shared" si="2"/>
        <v>0</v>
      </c>
      <c r="I82" s="1" t="s">
        <v>901</v>
      </c>
    </row>
    <row r="83" spans="1:11" x14ac:dyDescent="0.2">
      <c r="A83" s="138">
        <f t="shared" si="1"/>
        <v>80</v>
      </c>
      <c r="B83" s="34">
        <f>80-60</f>
        <v>20</v>
      </c>
      <c r="C83" s="34">
        <f t="shared" si="2"/>
        <v>10</v>
      </c>
      <c r="K83" s="1" t="s">
        <v>902</v>
      </c>
    </row>
    <row r="84" spans="1:11" x14ac:dyDescent="0.2">
      <c r="A84" s="138">
        <f t="shared" si="1"/>
        <v>90</v>
      </c>
      <c r="B84" s="34">
        <f>90-60</f>
        <v>30</v>
      </c>
      <c r="C84" s="34">
        <f t="shared" si="2"/>
        <v>20</v>
      </c>
    </row>
    <row r="85" spans="1:11" x14ac:dyDescent="0.2">
      <c r="A85" s="138">
        <f t="shared" si="1"/>
        <v>100</v>
      </c>
      <c r="B85" s="34">
        <f>100-60</f>
        <v>40</v>
      </c>
      <c r="C85" s="34">
        <f t="shared" si="2"/>
        <v>30</v>
      </c>
      <c r="I85" s="1" t="s">
        <v>903</v>
      </c>
    </row>
    <row r="86" spans="1:11" x14ac:dyDescent="0.2">
      <c r="A86" s="138">
        <f t="shared" si="1"/>
        <v>110</v>
      </c>
      <c r="B86" s="34">
        <f>110-60</f>
        <v>50</v>
      </c>
      <c r="C86" s="34">
        <f t="shared" si="2"/>
        <v>40</v>
      </c>
    </row>
    <row r="87" spans="1:11" x14ac:dyDescent="0.2">
      <c r="A87" s="138">
        <f t="shared" si="1"/>
        <v>120</v>
      </c>
      <c r="B87" s="34">
        <f>120-60</f>
        <v>60</v>
      </c>
      <c r="C87" s="34">
        <f t="shared" si="2"/>
        <v>50</v>
      </c>
      <c r="I87" s="1" t="s">
        <v>904</v>
      </c>
    </row>
    <row r="88" spans="1:11" x14ac:dyDescent="0.2">
      <c r="A88" s="138">
        <f t="shared" si="1"/>
        <v>130</v>
      </c>
      <c r="B88" s="34">
        <f>130-60</f>
        <v>70</v>
      </c>
      <c r="C88" s="34">
        <f t="shared" si="2"/>
        <v>60</v>
      </c>
      <c r="I88" s="1" t="s">
        <v>905</v>
      </c>
    </row>
    <row r="89" spans="1:11" x14ac:dyDescent="0.2">
      <c r="I89" s="1" t="s">
        <v>906</v>
      </c>
    </row>
    <row r="91" spans="1:11" x14ac:dyDescent="0.2">
      <c r="I91" s="1" t="s">
        <v>907</v>
      </c>
    </row>
    <row r="92" spans="1:11" x14ac:dyDescent="0.2">
      <c r="I92" s="1" t="s">
        <v>908</v>
      </c>
    </row>
    <row r="93" spans="1:11" ht="17" thickBot="1" x14ac:dyDescent="0.25"/>
    <row r="94" spans="1:11" ht="17" thickBot="1" x14ac:dyDescent="0.25">
      <c r="A94" s="275" t="s">
        <v>2002</v>
      </c>
      <c r="B94" s="276"/>
      <c r="C94" s="276"/>
      <c r="D94" s="276"/>
      <c r="E94" s="276"/>
      <c r="F94" s="276"/>
      <c r="G94" s="276"/>
      <c r="H94" s="277"/>
    </row>
    <row r="96" spans="1:11" x14ac:dyDescent="0.2">
      <c r="A96" s="1" t="s">
        <v>1990</v>
      </c>
    </row>
    <row r="97" spans="1:8" x14ac:dyDescent="0.2">
      <c r="A97" s="1" t="s">
        <v>2022</v>
      </c>
    </row>
    <row r="98" spans="1:8" x14ac:dyDescent="0.2">
      <c r="A98" s="1" t="s">
        <v>1991</v>
      </c>
    </row>
    <row r="100" spans="1:8" x14ac:dyDescent="0.2">
      <c r="A100" s="1" t="s">
        <v>1992</v>
      </c>
    </row>
    <row r="102" spans="1:8" x14ac:dyDescent="0.2">
      <c r="A102" s="1" t="s">
        <v>1993</v>
      </c>
    </row>
    <row r="103" spans="1:8" x14ac:dyDescent="0.2">
      <c r="A103" s="1" t="s">
        <v>1994</v>
      </c>
    </row>
    <row r="105" spans="1:8" x14ac:dyDescent="0.2">
      <c r="A105" s="1" t="s">
        <v>1995</v>
      </c>
    </row>
    <row r="106" spans="1:8" ht="17" thickBot="1" x14ac:dyDescent="0.25"/>
    <row r="107" spans="1:8" ht="17" thickBot="1" x14ac:dyDescent="0.25">
      <c r="A107" s="269" t="s">
        <v>1996</v>
      </c>
      <c r="B107" s="270"/>
      <c r="C107" s="270"/>
      <c r="D107" s="270"/>
      <c r="E107" s="270"/>
      <c r="F107" s="270"/>
      <c r="G107" s="270"/>
      <c r="H107" s="271"/>
    </row>
    <row r="109" spans="1:8" x14ac:dyDescent="0.2">
      <c r="A109" s="1" t="s">
        <v>1998</v>
      </c>
    </row>
    <row r="110" spans="1:8" x14ac:dyDescent="0.2">
      <c r="A110" s="1" t="s">
        <v>1999</v>
      </c>
    </row>
    <row r="111" spans="1:8" x14ac:dyDescent="0.2">
      <c r="A111" s="1" t="s">
        <v>1997</v>
      </c>
    </row>
    <row r="113" spans="1:7" x14ac:dyDescent="0.2">
      <c r="A113" s="1" t="s">
        <v>2023</v>
      </c>
    </row>
    <row r="114" spans="1:7" x14ac:dyDescent="0.2">
      <c r="A114" s="1" t="s">
        <v>2000</v>
      </c>
    </row>
    <row r="115" spans="1:7" x14ac:dyDescent="0.2">
      <c r="A115" s="1" t="s">
        <v>2001</v>
      </c>
    </row>
    <row r="117" spans="1:7" x14ac:dyDescent="0.2">
      <c r="A117" s="4" t="s">
        <v>78</v>
      </c>
    </row>
    <row r="118" spans="1:7" x14ac:dyDescent="0.2">
      <c r="A118" s="329" t="s">
        <v>2025</v>
      </c>
      <c r="B118" s="329"/>
      <c r="C118" s="329"/>
    </row>
    <row r="119" spans="1:7" x14ac:dyDescent="0.2">
      <c r="A119" s="329" t="s">
        <v>2026</v>
      </c>
      <c r="B119" s="329"/>
      <c r="C119" s="329"/>
    </row>
    <row r="120" spans="1:7" x14ac:dyDescent="0.2">
      <c r="A120" s="330" t="s">
        <v>2027</v>
      </c>
      <c r="B120" s="330"/>
      <c r="C120" s="330"/>
      <c r="E120" s="330" t="s">
        <v>2024</v>
      </c>
      <c r="F120" s="330"/>
      <c r="G120" s="330"/>
    </row>
    <row r="121" spans="1:7" x14ac:dyDescent="0.2">
      <c r="A121" s="21" t="s">
        <v>71</v>
      </c>
      <c r="B121" s="21" t="s">
        <v>239</v>
      </c>
      <c r="C121" s="21" t="s">
        <v>262</v>
      </c>
      <c r="D121" s="21"/>
      <c r="E121" s="21" t="s">
        <v>71</v>
      </c>
      <c r="F121" s="21" t="s">
        <v>239</v>
      </c>
      <c r="G121" s="21" t="s">
        <v>262</v>
      </c>
    </row>
    <row r="122" spans="1:7" x14ac:dyDescent="0.2">
      <c r="A122" s="21">
        <v>0</v>
      </c>
      <c r="B122" s="21">
        <v>0</v>
      </c>
      <c r="C122" s="21">
        <f t="shared" ref="C122:C132" si="3">B122-10</f>
        <v>-10</v>
      </c>
      <c r="E122" s="21">
        <v>0</v>
      </c>
      <c r="F122" s="21">
        <v>0</v>
      </c>
      <c r="G122" s="21">
        <f>F122+10</f>
        <v>10</v>
      </c>
    </row>
    <row r="123" spans="1:7" x14ac:dyDescent="0.2">
      <c r="A123" s="21">
        <v>10</v>
      </c>
      <c r="B123" s="21">
        <v>0</v>
      </c>
      <c r="C123" s="21">
        <f t="shared" si="3"/>
        <v>-10</v>
      </c>
      <c r="E123" s="21">
        <v>10</v>
      </c>
      <c r="F123" s="21">
        <v>0</v>
      </c>
      <c r="G123" s="21">
        <f>0+10</f>
        <v>10</v>
      </c>
    </row>
    <row r="124" spans="1:7" x14ac:dyDescent="0.2">
      <c r="A124" s="21">
        <v>20</v>
      </c>
      <c r="B124" s="21">
        <v>0</v>
      </c>
      <c r="C124" s="21">
        <f t="shared" si="3"/>
        <v>-10</v>
      </c>
      <c r="E124" s="21">
        <v>20</v>
      </c>
      <c r="F124" s="21">
        <v>0</v>
      </c>
      <c r="G124" s="21">
        <f>0+10</f>
        <v>10</v>
      </c>
    </row>
    <row r="125" spans="1:7" x14ac:dyDescent="0.2">
      <c r="A125" s="21">
        <v>30</v>
      </c>
      <c r="B125" s="21">
        <v>0</v>
      </c>
      <c r="C125" s="21">
        <f t="shared" si="3"/>
        <v>-10</v>
      </c>
      <c r="E125" s="21">
        <v>30</v>
      </c>
      <c r="F125" s="21">
        <v>0</v>
      </c>
      <c r="G125" s="21">
        <f>0+10</f>
        <v>10</v>
      </c>
    </row>
    <row r="126" spans="1:7" x14ac:dyDescent="0.2">
      <c r="A126" s="21">
        <v>40</v>
      </c>
      <c r="B126" s="21">
        <v>0</v>
      </c>
      <c r="C126" s="21">
        <f t="shared" si="3"/>
        <v>-10</v>
      </c>
      <c r="E126" s="21">
        <v>40</v>
      </c>
      <c r="F126" s="21">
        <v>0</v>
      </c>
      <c r="G126" s="21">
        <f>0+10</f>
        <v>10</v>
      </c>
    </row>
    <row r="127" spans="1:7" x14ac:dyDescent="0.2">
      <c r="A127" s="21">
        <v>50</v>
      </c>
      <c r="B127" s="21">
        <f>50-40</f>
        <v>10</v>
      </c>
      <c r="C127" s="21">
        <f t="shared" si="3"/>
        <v>0</v>
      </c>
      <c r="E127" s="21">
        <v>50</v>
      </c>
      <c r="F127" s="21">
        <f t="shared" ref="F127:F132" si="4">-B127</f>
        <v>-10</v>
      </c>
      <c r="G127" s="21">
        <v>0</v>
      </c>
    </row>
    <row r="128" spans="1:7" x14ac:dyDescent="0.2">
      <c r="A128" s="21">
        <v>60</v>
      </c>
      <c r="B128" s="21">
        <f>60-40</f>
        <v>20</v>
      </c>
      <c r="C128" s="21">
        <f t="shared" si="3"/>
        <v>10</v>
      </c>
      <c r="E128" s="21">
        <v>60</v>
      </c>
      <c r="F128" s="21">
        <f t="shared" si="4"/>
        <v>-20</v>
      </c>
      <c r="G128" s="21">
        <f>-20+10</f>
        <v>-10</v>
      </c>
    </row>
    <row r="129" spans="1:7" x14ac:dyDescent="0.2">
      <c r="A129" s="21">
        <v>70</v>
      </c>
      <c r="B129" s="21">
        <f>70-40</f>
        <v>30</v>
      </c>
      <c r="C129" s="21">
        <f t="shared" si="3"/>
        <v>20</v>
      </c>
      <c r="E129" s="21">
        <v>70</v>
      </c>
      <c r="F129" s="21">
        <f t="shared" si="4"/>
        <v>-30</v>
      </c>
      <c r="G129" s="21">
        <f>-30+10</f>
        <v>-20</v>
      </c>
    </row>
    <row r="130" spans="1:7" x14ac:dyDescent="0.2">
      <c r="A130" s="21">
        <v>80</v>
      </c>
      <c r="B130" s="21">
        <f>80-40</f>
        <v>40</v>
      </c>
      <c r="C130" s="21">
        <f t="shared" si="3"/>
        <v>30</v>
      </c>
      <c r="E130" s="21">
        <v>80</v>
      </c>
      <c r="F130" s="21">
        <f t="shared" si="4"/>
        <v>-40</v>
      </c>
      <c r="G130" s="21">
        <f>F130+10</f>
        <v>-30</v>
      </c>
    </row>
    <row r="131" spans="1:7" x14ac:dyDescent="0.2">
      <c r="A131" s="21">
        <v>90</v>
      </c>
      <c r="B131" s="21">
        <f>90-40</f>
        <v>50</v>
      </c>
      <c r="C131" s="21">
        <f t="shared" si="3"/>
        <v>40</v>
      </c>
      <c r="E131" s="21">
        <v>90</v>
      </c>
      <c r="F131" s="21">
        <f t="shared" si="4"/>
        <v>-50</v>
      </c>
      <c r="G131" s="21">
        <f>F131+10</f>
        <v>-40</v>
      </c>
    </row>
    <row r="132" spans="1:7" x14ac:dyDescent="0.2">
      <c r="A132" s="21">
        <v>100</v>
      </c>
      <c r="B132" s="21">
        <f>100-40</f>
        <v>60</v>
      </c>
      <c r="C132" s="21">
        <f t="shared" si="3"/>
        <v>50</v>
      </c>
      <c r="E132" s="21">
        <v>100</v>
      </c>
      <c r="F132" s="21">
        <f t="shared" si="4"/>
        <v>-60</v>
      </c>
      <c r="G132" s="21">
        <f>F132+10</f>
        <v>-50</v>
      </c>
    </row>
    <row r="134" spans="1:7" x14ac:dyDescent="0.2">
      <c r="A134" s="1" t="s">
        <v>2028</v>
      </c>
      <c r="E134" s="1" t="s">
        <v>2029</v>
      </c>
    </row>
    <row r="135" spans="1:7" x14ac:dyDescent="0.2">
      <c r="C135" s="21" t="s">
        <v>262</v>
      </c>
    </row>
    <row r="136" spans="1:7" x14ac:dyDescent="0.2">
      <c r="A136" s="1" t="s">
        <v>1535</v>
      </c>
    </row>
    <row r="137" spans="1:7" x14ac:dyDescent="0.2">
      <c r="A137" s="1" t="s">
        <v>222</v>
      </c>
    </row>
    <row r="146" spans="1:1" ht="21" x14ac:dyDescent="0.25">
      <c r="A146" s="149" t="s">
        <v>2030</v>
      </c>
    </row>
  </sheetData>
  <mergeCells count="6">
    <mergeCell ref="G38:H38"/>
    <mergeCell ref="D22:E22"/>
    <mergeCell ref="A120:C120"/>
    <mergeCell ref="E120:G120"/>
    <mergeCell ref="A118:C118"/>
    <mergeCell ref="A119:C119"/>
  </mergeCells>
  <pageMargins left="0.7" right="0.7" top="0.75" bottom="0.75" header="0.3" footer="0.3"/>
  <pageSetup paperSize="9" scale="84" orientation="portrait" horizontalDpi="0" verticalDpi="0"/>
  <rowBreaks count="5" manualBreakCount="5">
    <brk id="395" max="16383" man="1"/>
    <brk id="434" max="16383" man="1"/>
    <brk id="470" max="16383" man="1"/>
    <brk id="518" max="16383" man="1"/>
    <brk id="565" max="16383" man="1"/>
  </rowBreaks>
  <colBreaks count="1" manualBreakCount="1">
    <brk id="9" max="1048575" man="1"/>
  </colBreaks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ECB35B-D063-7F47-AC15-938BA6A154B8}">
  <dimension ref="A1:O572"/>
  <sheetViews>
    <sheetView rightToLeft="1" topLeftCell="A201" zoomScale="170" workbookViewId="0">
      <selection activeCell="D123" sqref="D123"/>
    </sheetView>
  </sheetViews>
  <sheetFormatPr baseColWidth="10" defaultRowHeight="16" x14ac:dyDescent="0.2"/>
  <sheetData>
    <row r="1" spans="1:8" s="1" customFormat="1" x14ac:dyDescent="0.2">
      <c r="A1" s="2" t="s">
        <v>2038</v>
      </c>
      <c r="B1" s="2"/>
      <c r="C1" s="2"/>
      <c r="D1" s="2"/>
      <c r="E1" s="2"/>
      <c r="F1" s="2"/>
      <c r="G1" s="2"/>
      <c r="H1" s="3">
        <v>45616</v>
      </c>
    </row>
    <row r="2" spans="1:8" x14ac:dyDescent="0.2">
      <c r="H2" t="s">
        <v>2106</v>
      </c>
    </row>
    <row r="3" spans="1:8" x14ac:dyDescent="0.2">
      <c r="A3" s="1" t="s">
        <v>2039</v>
      </c>
      <c r="B3" s="1"/>
      <c r="C3" s="1"/>
      <c r="D3" s="1"/>
      <c r="E3" s="1"/>
      <c r="F3" s="1"/>
      <c r="G3" s="1"/>
      <c r="H3" s="1"/>
    </row>
    <row r="4" spans="1:8" x14ac:dyDescent="0.2">
      <c r="A4" s="1" t="s">
        <v>2040</v>
      </c>
      <c r="B4" s="1"/>
      <c r="C4" s="1"/>
      <c r="D4" s="1"/>
      <c r="E4" s="1"/>
      <c r="F4" s="1"/>
      <c r="G4" s="1"/>
      <c r="H4" s="1"/>
    </row>
    <row r="8" spans="1:8" ht="17" thickBot="1" x14ac:dyDescent="0.25"/>
    <row r="9" spans="1:8" s="1" customFormat="1" ht="17" thickBot="1" x14ac:dyDescent="0.25">
      <c r="A9" s="269" t="s">
        <v>2037</v>
      </c>
      <c r="B9" s="270"/>
      <c r="C9" s="270"/>
      <c r="D9" s="270"/>
      <c r="E9" s="270"/>
      <c r="F9" s="270"/>
      <c r="G9" s="270"/>
      <c r="H9" s="271"/>
    </row>
    <row r="10" spans="1:8" s="1" customFormat="1" x14ac:dyDescent="0.2"/>
    <row r="11" spans="1:8" s="1" customFormat="1" x14ac:dyDescent="0.2">
      <c r="A11" s="1" t="s">
        <v>2032</v>
      </c>
    </row>
    <row r="12" spans="1:8" s="1" customFormat="1" x14ac:dyDescent="0.2">
      <c r="A12" s="1" t="s">
        <v>2033</v>
      </c>
    </row>
    <row r="13" spans="1:8" s="1" customFormat="1" x14ac:dyDescent="0.2">
      <c r="A13" s="1" t="s">
        <v>2034</v>
      </c>
    </row>
    <row r="14" spans="1:8" s="1" customFormat="1" x14ac:dyDescent="0.2">
      <c r="A14" s="1" t="s">
        <v>2035</v>
      </c>
    </row>
    <row r="15" spans="1:8" s="1" customFormat="1" x14ac:dyDescent="0.2">
      <c r="A15" s="1" t="s">
        <v>2036</v>
      </c>
    </row>
    <row r="16" spans="1:8" s="1" customFormat="1" x14ac:dyDescent="0.2"/>
    <row r="17" spans="1:15" s="1" customFormat="1" x14ac:dyDescent="0.2">
      <c r="A17" s="1" t="s">
        <v>2004</v>
      </c>
    </row>
    <row r="18" spans="1:15" s="1" customFormat="1" x14ac:dyDescent="0.2">
      <c r="A18" s="1" t="s">
        <v>2003</v>
      </c>
    </row>
    <row r="19" spans="1:15" s="1" customFormat="1" x14ac:dyDescent="0.2"/>
    <row r="20" spans="1:15" s="1" customFormat="1" x14ac:dyDescent="0.2">
      <c r="A20" s="1" t="s">
        <v>78</v>
      </c>
      <c r="E20" s="1" t="s">
        <v>2049</v>
      </c>
      <c r="H20" s="21" t="s">
        <v>2061</v>
      </c>
      <c r="L20" s="1" t="s">
        <v>323</v>
      </c>
    </row>
    <row r="21" spans="1:15" s="1" customFormat="1" x14ac:dyDescent="0.2">
      <c r="B21" s="21" t="s">
        <v>72</v>
      </c>
      <c r="C21" s="21"/>
      <c r="D21" s="21" t="s">
        <v>2046</v>
      </c>
      <c r="E21" s="21" t="s">
        <v>213</v>
      </c>
      <c r="H21" s="21" t="s">
        <v>514</v>
      </c>
      <c r="J21" s="21" t="s">
        <v>75</v>
      </c>
      <c r="O21" s="1" t="s">
        <v>2042</v>
      </c>
    </row>
    <row r="22" spans="1:15" s="1" customFormat="1" x14ac:dyDescent="0.2">
      <c r="A22" s="21" t="s">
        <v>872</v>
      </c>
      <c r="B22" s="21" t="s">
        <v>2041</v>
      </c>
      <c r="C22" s="21" t="s">
        <v>213</v>
      </c>
      <c r="D22" s="21" t="s">
        <v>2018</v>
      </c>
      <c r="E22" s="21" t="s">
        <v>2047</v>
      </c>
      <c r="G22" s="21" t="s">
        <v>872</v>
      </c>
      <c r="H22" s="21" t="s">
        <v>2050</v>
      </c>
      <c r="I22" s="21" t="s">
        <v>2051</v>
      </c>
      <c r="J22" s="21" t="s">
        <v>941</v>
      </c>
      <c r="O22" s="1" t="s">
        <v>2043</v>
      </c>
    </row>
    <row r="23" spans="1:15" s="1" customFormat="1" x14ac:dyDescent="0.2">
      <c r="A23" s="75" t="s">
        <v>71</v>
      </c>
      <c r="B23" s="75" t="s">
        <v>239</v>
      </c>
      <c r="C23" s="75" t="s">
        <v>262</v>
      </c>
      <c r="D23" s="75" t="s">
        <v>247</v>
      </c>
      <c r="E23" s="75" t="s">
        <v>2048</v>
      </c>
      <c r="G23" s="75" t="s">
        <v>71</v>
      </c>
      <c r="H23" s="75" t="s">
        <v>2060</v>
      </c>
      <c r="I23" s="75" t="s">
        <v>941</v>
      </c>
      <c r="J23" s="75" t="s">
        <v>2047</v>
      </c>
      <c r="O23" s="1" t="s">
        <v>2044</v>
      </c>
    </row>
    <row r="24" spans="1:15" s="1" customFormat="1" x14ac:dyDescent="0.2">
      <c r="A24" s="21">
        <v>0</v>
      </c>
      <c r="B24" s="21">
        <v>0</v>
      </c>
      <c r="C24" s="21">
        <f t="shared" ref="C24:C34" si="0">B24-10</f>
        <v>-10</v>
      </c>
      <c r="D24" s="333">
        <v>10</v>
      </c>
      <c r="E24" s="286">
        <f t="shared" ref="E24:E34" si="1">C24/D$24</f>
        <v>-1</v>
      </c>
      <c r="G24" s="21">
        <v>0</v>
      </c>
      <c r="H24" s="334">
        <v>50</v>
      </c>
      <c r="I24" s="21">
        <f t="shared" ref="I24:I34" si="2">G24-H$24</f>
        <v>-50</v>
      </c>
      <c r="J24" s="287">
        <f t="shared" ref="J24:J34" si="3">I24/H$24</f>
        <v>-1</v>
      </c>
    </row>
    <row r="25" spans="1:15" s="1" customFormat="1" x14ac:dyDescent="0.2">
      <c r="A25" s="21">
        <f t="shared" ref="A25:A34" si="4">A24+10</f>
        <v>10</v>
      </c>
      <c r="B25" s="21">
        <v>0</v>
      </c>
      <c r="C25" s="21">
        <f t="shared" si="0"/>
        <v>-10</v>
      </c>
      <c r="D25" s="334"/>
      <c r="E25" s="286">
        <f t="shared" si="1"/>
        <v>-1</v>
      </c>
      <c r="G25" s="21">
        <f t="shared" ref="G25:G34" si="5">G24+10</f>
        <v>10</v>
      </c>
      <c r="H25" s="334"/>
      <c r="I25" s="21">
        <f t="shared" si="2"/>
        <v>-40</v>
      </c>
      <c r="J25" s="287">
        <f t="shared" si="3"/>
        <v>-0.8</v>
      </c>
      <c r="O25" s="1" t="s">
        <v>2045</v>
      </c>
    </row>
    <row r="26" spans="1:15" s="1" customFormat="1" x14ac:dyDescent="0.2">
      <c r="A26" s="21">
        <f t="shared" si="4"/>
        <v>20</v>
      </c>
      <c r="B26" s="21">
        <v>0</v>
      </c>
      <c r="C26" s="21">
        <f t="shared" si="0"/>
        <v>-10</v>
      </c>
      <c r="D26" s="334"/>
      <c r="E26" s="286">
        <f t="shared" si="1"/>
        <v>-1</v>
      </c>
      <c r="G26" s="21">
        <f t="shared" si="5"/>
        <v>20</v>
      </c>
      <c r="H26" s="334"/>
      <c r="I26" s="21">
        <f t="shared" si="2"/>
        <v>-30</v>
      </c>
      <c r="J26" s="287">
        <f t="shared" si="3"/>
        <v>-0.6</v>
      </c>
    </row>
    <row r="27" spans="1:15" s="1" customFormat="1" x14ac:dyDescent="0.2">
      <c r="A27" s="21">
        <f t="shared" si="4"/>
        <v>30</v>
      </c>
      <c r="B27" s="21">
        <v>0</v>
      </c>
      <c r="C27" s="21">
        <f t="shared" si="0"/>
        <v>-10</v>
      </c>
      <c r="D27" s="334"/>
      <c r="E27" s="286">
        <f t="shared" si="1"/>
        <v>-1</v>
      </c>
      <c r="G27" s="21">
        <f t="shared" si="5"/>
        <v>30</v>
      </c>
      <c r="H27" s="334"/>
      <c r="I27" s="21">
        <f t="shared" si="2"/>
        <v>-20</v>
      </c>
      <c r="J27" s="287">
        <f t="shared" si="3"/>
        <v>-0.4</v>
      </c>
    </row>
    <row r="28" spans="1:15" s="1" customFormat="1" x14ac:dyDescent="0.2">
      <c r="A28" s="21">
        <f t="shared" si="4"/>
        <v>40</v>
      </c>
      <c r="B28" s="21">
        <v>0</v>
      </c>
      <c r="C28" s="21">
        <f t="shared" si="0"/>
        <v>-10</v>
      </c>
      <c r="D28" s="334"/>
      <c r="E28" s="286">
        <f t="shared" si="1"/>
        <v>-1</v>
      </c>
      <c r="G28" s="21">
        <f t="shared" si="5"/>
        <v>40</v>
      </c>
      <c r="H28" s="334"/>
      <c r="I28" s="21">
        <f t="shared" si="2"/>
        <v>-10</v>
      </c>
      <c r="J28" s="287">
        <f t="shared" si="3"/>
        <v>-0.2</v>
      </c>
    </row>
    <row r="29" spans="1:15" s="1" customFormat="1" x14ac:dyDescent="0.2">
      <c r="A29" s="21">
        <f t="shared" si="4"/>
        <v>50</v>
      </c>
      <c r="B29" s="21">
        <v>0</v>
      </c>
      <c r="C29" s="21">
        <f t="shared" si="0"/>
        <v>-10</v>
      </c>
      <c r="D29" s="334"/>
      <c r="E29" s="286">
        <f t="shared" si="1"/>
        <v>-1</v>
      </c>
      <c r="G29" s="21">
        <f t="shared" si="5"/>
        <v>50</v>
      </c>
      <c r="H29" s="334"/>
      <c r="I29" s="21">
        <f t="shared" si="2"/>
        <v>0</v>
      </c>
      <c r="J29" s="287">
        <f t="shared" si="3"/>
        <v>0</v>
      </c>
    </row>
    <row r="30" spans="1:15" s="1" customFormat="1" x14ac:dyDescent="0.2">
      <c r="A30" s="21">
        <f t="shared" si="4"/>
        <v>60</v>
      </c>
      <c r="B30" s="21">
        <f>A30-50</f>
        <v>10</v>
      </c>
      <c r="C30" s="21">
        <f t="shared" si="0"/>
        <v>0</v>
      </c>
      <c r="D30" s="334"/>
      <c r="E30" s="286">
        <f t="shared" si="1"/>
        <v>0</v>
      </c>
      <c r="G30" s="21">
        <f t="shared" si="5"/>
        <v>60</v>
      </c>
      <c r="H30" s="334"/>
      <c r="I30" s="21">
        <f t="shared" si="2"/>
        <v>10</v>
      </c>
      <c r="J30" s="287">
        <f t="shared" si="3"/>
        <v>0.2</v>
      </c>
    </row>
    <row r="31" spans="1:15" s="1" customFormat="1" x14ac:dyDescent="0.2">
      <c r="A31" s="21">
        <f t="shared" si="4"/>
        <v>70</v>
      </c>
      <c r="B31" s="21">
        <f>A31-50</f>
        <v>20</v>
      </c>
      <c r="C31" s="21">
        <f t="shared" si="0"/>
        <v>10</v>
      </c>
      <c r="D31" s="334"/>
      <c r="E31" s="286">
        <f t="shared" si="1"/>
        <v>1</v>
      </c>
      <c r="G31" s="21">
        <f t="shared" si="5"/>
        <v>70</v>
      </c>
      <c r="H31" s="334"/>
      <c r="I31" s="21">
        <f t="shared" si="2"/>
        <v>20</v>
      </c>
      <c r="J31" s="287">
        <f t="shared" si="3"/>
        <v>0.4</v>
      </c>
    </row>
    <row r="32" spans="1:15" s="1" customFormat="1" x14ac:dyDescent="0.2">
      <c r="A32" s="21">
        <f t="shared" si="4"/>
        <v>80</v>
      </c>
      <c r="B32" s="21">
        <f>A32-50</f>
        <v>30</v>
      </c>
      <c r="C32" s="21">
        <f t="shared" si="0"/>
        <v>20</v>
      </c>
      <c r="D32" s="334"/>
      <c r="E32" s="286">
        <f t="shared" si="1"/>
        <v>2</v>
      </c>
      <c r="G32" s="21">
        <f t="shared" si="5"/>
        <v>80</v>
      </c>
      <c r="H32" s="334"/>
      <c r="I32" s="21">
        <f t="shared" si="2"/>
        <v>30</v>
      </c>
      <c r="J32" s="287">
        <f t="shared" si="3"/>
        <v>0.6</v>
      </c>
    </row>
    <row r="33" spans="1:10" s="1" customFormat="1" x14ac:dyDescent="0.2">
      <c r="A33" s="21">
        <f t="shared" si="4"/>
        <v>90</v>
      </c>
      <c r="B33" s="21">
        <f>A33-50</f>
        <v>40</v>
      </c>
      <c r="C33" s="21">
        <f t="shared" si="0"/>
        <v>30</v>
      </c>
      <c r="D33" s="334"/>
      <c r="E33" s="286">
        <f t="shared" si="1"/>
        <v>3</v>
      </c>
      <c r="G33" s="21">
        <f t="shared" si="5"/>
        <v>90</v>
      </c>
      <c r="H33" s="334"/>
      <c r="I33" s="21">
        <f t="shared" si="2"/>
        <v>40</v>
      </c>
      <c r="J33" s="287">
        <f t="shared" si="3"/>
        <v>0.8</v>
      </c>
    </row>
    <row r="34" spans="1:10" s="1" customFormat="1" x14ac:dyDescent="0.2">
      <c r="A34" s="21">
        <f t="shared" si="4"/>
        <v>100</v>
      </c>
      <c r="B34" s="21">
        <f>A34-50</f>
        <v>50</v>
      </c>
      <c r="C34" s="21">
        <f t="shared" si="0"/>
        <v>40</v>
      </c>
      <c r="D34" s="334"/>
      <c r="E34" s="286">
        <f t="shared" si="1"/>
        <v>4</v>
      </c>
      <c r="G34" s="21">
        <f t="shared" si="5"/>
        <v>100</v>
      </c>
      <c r="H34" s="334"/>
      <c r="I34" s="21">
        <f t="shared" si="2"/>
        <v>50</v>
      </c>
      <c r="J34" s="287">
        <f t="shared" si="3"/>
        <v>1</v>
      </c>
    </row>
    <row r="35" spans="1:10" s="1" customFormat="1" ht="17" thickBot="1" x14ac:dyDescent="0.25"/>
    <row r="36" spans="1:10" s="1" customFormat="1" ht="17" thickBot="1" x14ac:dyDescent="0.25">
      <c r="A36" s="335" t="s">
        <v>2052</v>
      </c>
      <c r="B36" s="336"/>
      <c r="C36" s="336"/>
      <c r="D36" s="336"/>
      <c r="E36" s="337"/>
      <c r="G36" s="335" t="s">
        <v>2053</v>
      </c>
      <c r="H36" s="336"/>
      <c r="I36" s="336"/>
      <c r="J36" s="337"/>
    </row>
    <row r="37" spans="1:10" s="1" customFormat="1" ht="17" thickBot="1" x14ac:dyDescent="0.25"/>
    <row r="38" spans="1:10" s="1" customFormat="1" x14ac:dyDescent="0.2">
      <c r="A38" s="97" t="s">
        <v>2054</v>
      </c>
      <c r="B38" s="39"/>
      <c r="C38" s="39"/>
      <c r="D38" s="39"/>
      <c r="E38" s="39"/>
      <c r="F38" s="39"/>
      <c r="G38" s="39"/>
      <c r="H38" s="39"/>
      <c r="I38" s="39"/>
      <c r="J38" s="40"/>
    </row>
    <row r="39" spans="1:10" s="1" customFormat="1" x14ac:dyDescent="0.2">
      <c r="A39" s="41" t="s">
        <v>2055</v>
      </c>
      <c r="J39" s="42"/>
    </row>
    <row r="40" spans="1:10" s="1" customFormat="1" x14ac:dyDescent="0.2">
      <c r="A40" s="41" t="s">
        <v>2056</v>
      </c>
      <c r="J40" s="42"/>
    </row>
    <row r="41" spans="1:10" s="1" customFormat="1" x14ac:dyDescent="0.2">
      <c r="A41" s="41" t="s">
        <v>2057</v>
      </c>
      <c r="J41" s="42"/>
    </row>
    <row r="42" spans="1:10" s="1" customFormat="1" x14ac:dyDescent="0.2">
      <c r="A42" s="41" t="s">
        <v>2058</v>
      </c>
      <c r="J42" s="42"/>
    </row>
    <row r="43" spans="1:10" s="1" customFormat="1" ht="17" thickBot="1" x14ac:dyDescent="0.25">
      <c r="A43" s="43" t="s">
        <v>2059</v>
      </c>
      <c r="B43" s="44"/>
      <c r="C43" s="44"/>
      <c r="D43" s="44"/>
      <c r="E43" s="44"/>
      <c r="F43" s="44"/>
      <c r="G43" s="44"/>
      <c r="H43" s="44"/>
      <c r="I43" s="44"/>
      <c r="J43" s="45"/>
    </row>
    <row r="44" spans="1:10" s="1" customFormat="1" ht="17" thickBot="1" x14ac:dyDescent="0.25"/>
    <row r="45" spans="1:10" s="1" customFormat="1" ht="22" thickBot="1" x14ac:dyDescent="0.3">
      <c r="A45" s="10" t="s">
        <v>181</v>
      </c>
      <c r="B45" s="11"/>
      <c r="C45" s="11"/>
      <c r="D45" s="11"/>
      <c r="E45" s="11"/>
      <c r="F45" s="11"/>
      <c r="G45" s="11"/>
      <c r="H45" s="12"/>
    </row>
    <row r="46" spans="1:10" s="1" customFormat="1" x14ac:dyDescent="0.2"/>
    <row r="47" spans="1:10" s="1" customFormat="1" x14ac:dyDescent="0.2">
      <c r="A47" s="4" t="s">
        <v>182</v>
      </c>
    </row>
    <row r="48" spans="1:10" s="1" customFormat="1" x14ac:dyDescent="0.2">
      <c r="A48" s="1" t="s">
        <v>183</v>
      </c>
    </row>
    <row r="49" spans="1:1" s="1" customFormat="1" x14ac:dyDescent="0.2">
      <c r="A49" s="1" t="s">
        <v>184</v>
      </c>
    </row>
    <row r="50" spans="1:1" s="1" customFormat="1" x14ac:dyDescent="0.2">
      <c r="A50" s="1" t="s">
        <v>185</v>
      </c>
    </row>
    <row r="51" spans="1:1" s="1" customFormat="1" x14ac:dyDescent="0.2">
      <c r="A51" s="1" t="s">
        <v>186</v>
      </c>
    </row>
    <row r="52" spans="1:1" s="1" customFormat="1" x14ac:dyDescent="0.2">
      <c r="A52" s="1" t="s">
        <v>187</v>
      </c>
    </row>
    <row r="53" spans="1:1" s="1" customFormat="1" x14ac:dyDescent="0.2">
      <c r="A53" s="1" t="s">
        <v>188</v>
      </c>
    </row>
    <row r="54" spans="1:1" s="1" customFormat="1" x14ac:dyDescent="0.2">
      <c r="A54" s="1" t="s">
        <v>189</v>
      </c>
    </row>
    <row r="55" spans="1:1" s="1" customFormat="1" x14ac:dyDescent="0.2"/>
    <row r="56" spans="1:1" s="1" customFormat="1" x14ac:dyDescent="0.2">
      <c r="A56" s="1" t="s">
        <v>190</v>
      </c>
    </row>
    <row r="57" spans="1:1" s="1" customFormat="1" x14ac:dyDescent="0.2"/>
    <row r="58" spans="1:1" s="1" customFormat="1" x14ac:dyDescent="0.2">
      <c r="A58" s="4" t="s">
        <v>191</v>
      </c>
    </row>
    <row r="59" spans="1:1" s="1" customFormat="1" x14ac:dyDescent="0.2">
      <c r="A59" s="1" t="s">
        <v>193</v>
      </c>
    </row>
    <row r="60" spans="1:1" s="1" customFormat="1" x14ac:dyDescent="0.2">
      <c r="A60" s="1" t="s">
        <v>192</v>
      </c>
    </row>
    <row r="61" spans="1:1" s="1" customFormat="1" x14ac:dyDescent="0.2"/>
    <row r="62" spans="1:1" s="1" customFormat="1" x14ac:dyDescent="0.2">
      <c r="A62" s="4" t="s">
        <v>194</v>
      </c>
    </row>
    <row r="63" spans="1:1" s="1" customFormat="1" x14ac:dyDescent="0.2">
      <c r="A63" s="1" t="s">
        <v>195</v>
      </c>
    </row>
    <row r="64" spans="1:1" s="1" customFormat="1" x14ac:dyDescent="0.2">
      <c r="A64" s="1" t="s">
        <v>196</v>
      </c>
    </row>
    <row r="65" spans="1:7" s="1" customFormat="1" x14ac:dyDescent="0.2"/>
    <row r="66" spans="1:7" s="1" customFormat="1" x14ac:dyDescent="0.2">
      <c r="A66" s="4" t="s">
        <v>197</v>
      </c>
    </row>
    <row r="67" spans="1:7" s="1" customFormat="1" x14ac:dyDescent="0.2">
      <c r="A67" s="1" t="s">
        <v>228</v>
      </c>
    </row>
    <row r="68" spans="1:7" s="1" customFormat="1" x14ac:dyDescent="0.2">
      <c r="A68" s="1" t="s">
        <v>229</v>
      </c>
    </row>
    <row r="69" spans="1:7" s="1" customFormat="1" x14ac:dyDescent="0.2">
      <c r="A69" s="1" t="s">
        <v>230</v>
      </c>
    </row>
    <row r="70" spans="1:7" s="1" customFormat="1" x14ac:dyDescent="0.2">
      <c r="A70" s="1" t="s">
        <v>231</v>
      </c>
    </row>
    <row r="71" spans="1:7" s="1" customFormat="1" x14ac:dyDescent="0.2"/>
    <row r="72" spans="1:7" s="1" customFormat="1" x14ac:dyDescent="0.2">
      <c r="A72" s="4" t="s">
        <v>205</v>
      </c>
    </row>
    <row r="73" spans="1:7" s="1" customFormat="1" x14ac:dyDescent="0.2"/>
    <row r="74" spans="1:7" s="1" customFormat="1" x14ac:dyDescent="0.2">
      <c r="B74" s="1" t="s">
        <v>142</v>
      </c>
      <c r="C74" s="21" t="s">
        <v>146</v>
      </c>
      <c r="D74" s="1" t="s">
        <v>143</v>
      </c>
      <c r="F74" s="21" t="s">
        <v>198</v>
      </c>
      <c r="G74" s="1" t="s">
        <v>128</v>
      </c>
    </row>
    <row r="75" spans="1:7" s="1" customFormat="1" x14ac:dyDescent="0.2">
      <c r="B75" s="1" t="s">
        <v>145</v>
      </c>
      <c r="C75" s="21" t="s">
        <v>92</v>
      </c>
      <c r="D75" s="1" t="s">
        <v>143</v>
      </c>
      <c r="F75" s="21">
        <v>0</v>
      </c>
      <c r="G75" s="1" t="s">
        <v>128</v>
      </c>
    </row>
    <row r="76" spans="1:7" s="1" customFormat="1" x14ac:dyDescent="0.2">
      <c r="B76" s="1" t="s">
        <v>142</v>
      </c>
      <c r="C76" s="21" t="s">
        <v>147</v>
      </c>
      <c r="D76" s="1" t="s">
        <v>143</v>
      </c>
      <c r="F76" s="21">
        <v>0</v>
      </c>
      <c r="G76" s="1" t="s">
        <v>128</v>
      </c>
    </row>
    <row r="77" spans="1:7" s="1" customFormat="1" x14ac:dyDescent="0.2"/>
    <row r="78" spans="1:7" s="1" customFormat="1" x14ac:dyDescent="0.2">
      <c r="A78" s="1" t="s">
        <v>199</v>
      </c>
    </row>
    <row r="79" spans="1:7" s="1" customFormat="1" x14ac:dyDescent="0.2">
      <c r="A79" s="1" t="s">
        <v>151</v>
      </c>
    </row>
    <row r="80" spans="1:7" s="1" customFormat="1" x14ac:dyDescent="0.2">
      <c r="G80" s="1" t="s">
        <v>149</v>
      </c>
    </row>
    <row r="81" spans="1:8" s="1" customFormat="1" x14ac:dyDescent="0.2"/>
    <row r="82" spans="1:8" s="1" customFormat="1" x14ac:dyDescent="0.2">
      <c r="A82" s="4" t="s">
        <v>203</v>
      </c>
    </row>
    <row r="83" spans="1:8" s="1" customFormat="1" x14ac:dyDescent="0.2">
      <c r="A83" s="1" t="s">
        <v>232</v>
      </c>
    </row>
    <row r="84" spans="1:8" s="1" customFormat="1" x14ac:dyDescent="0.2">
      <c r="A84" s="1" t="s">
        <v>233</v>
      </c>
    </row>
    <row r="85" spans="1:8" s="1" customFormat="1" x14ac:dyDescent="0.2">
      <c r="A85" s="1" t="s">
        <v>234</v>
      </c>
    </row>
    <row r="86" spans="1:8" s="1" customFormat="1" x14ac:dyDescent="0.2">
      <c r="A86" s="1" t="s">
        <v>235</v>
      </c>
    </row>
    <row r="87" spans="1:8" s="1" customFormat="1" x14ac:dyDescent="0.2"/>
    <row r="88" spans="1:8" s="1" customFormat="1" x14ac:dyDescent="0.2"/>
    <row r="89" spans="1:8" s="1" customFormat="1" x14ac:dyDescent="0.2"/>
    <row r="90" spans="1:8" s="1" customFormat="1" x14ac:dyDescent="0.2"/>
    <row r="91" spans="1:8" s="1" customFormat="1" x14ac:dyDescent="0.2"/>
    <row r="92" spans="1:8" s="1" customFormat="1" ht="17" thickBot="1" x14ac:dyDescent="0.25"/>
    <row r="93" spans="1:8" s="1" customFormat="1" ht="17" thickBot="1" x14ac:dyDescent="0.25">
      <c r="A93" s="15" t="s">
        <v>2062</v>
      </c>
      <c r="B93" s="16"/>
      <c r="C93" s="16"/>
      <c r="D93" s="16"/>
      <c r="E93" s="16"/>
      <c r="F93" s="35"/>
      <c r="G93" s="16"/>
      <c r="H93" s="17" t="s">
        <v>236</v>
      </c>
    </row>
    <row r="94" spans="1:8" s="1" customFormat="1" x14ac:dyDescent="0.2"/>
    <row r="95" spans="1:8" s="1" customFormat="1" x14ac:dyDescent="0.2">
      <c r="A95" s="1" t="s">
        <v>200</v>
      </c>
    </row>
    <row r="96" spans="1:8" s="1" customFormat="1" x14ac:dyDescent="0.2">
      <c r="A96" s="1" t="s">
        <v>201</v>
      </c>
    </row>
    <row r="97" spans="1:8" s="1" customFormat="1" x14ac:dyDescent="0.2">
      <c r="A97" s="1" t="s">
        <v>202</v>
      </c>
    </row>
    <row r="98" spans="1:8" s="1" customFormat="1" x14ac:dyDescent="0.2"/>
    <row r="99" spans="1:8" s="1" customFormat="1" x14ac:dyDescent="0.2">
      <c r="A99" s="75" t="s">
        <v>71</v>
      </c>
      <c r="B99" s="75" t="s">
        <v>74</v>
      </c>
      <c r="C99" s="75" t="s">
        <v>77</v>
      </c>
      <c r="H99" s="1" t="s">
        <v>2063</v>
      </c>
    </row>
    <row r="100" spans="1:8" s="1" customFormat="1" x14ac:dyDescent="0.2">
      <c r="A100" s="21">
        <v>40</v>
      </c>
      <c r="B100" s="21">
        <f t="shared" ref="B100:B107" si="6">120-A100</f>
        <v>80</v>
      </c>
      <c r="C100" s="21">
        <f t="shared" ref="C100:C116" si="7">B100-30</f>
        <v>50</v>
      </c>
      <c r="H100" s="1" t="s">
        <v>2064</v>
      </c>
    </row>
    <row r="101" spans="1:8" s="1" customFormat="1" x14ac:dyDescent="0.2">
      <c r="A101" s="21">
        <f t="shared" ref="A101:A116" si="8">A100+10</f>
        <v>50</v>
      </c>
      <c r="B101" s="21">
        <f t="shared" si="6"/>
        <v>70</v>
      </c>
      <c r="C101" s="21">
        <f t="shared" si="7"/>
        <v>40</v>
      </c>
      <c r="H101" s="1" t="s">
        <v>2065</v>
      </c>
    </row>
    <row r="102" spans="1:8" s="1" customFormat="1" x14ac:dyDescent="0.2">
      <c r="A102" s="21">
        <f t="shared" si="8"/>
        <v>60</v>
      </c>
      <c r="B102" s="21">
        <f t="shared" si="6"/>
        <v>60</v>
      </c>
      <c r="C102" s="21">
        <f t="shared" si="7"/>
        <v>30</v>
      </c>
      <c r="G102" s="1" t="s">
        <v>2066</v>
      </c>
    </row>
    <row r="103" spans="1:8" s="1" customFormat="1" x14ac:dyDescent="0.2">
      <c r="A103" s="21">
        <f t="shared" si="8"/>
        <v>70</v>
      </c>
      <c r="B103" s="21">
        <f t="shared" si="6"/>
        <v>50</v>
      </c>
      <c r="C103" s="21">
        <f t="shared" si="7"/>
        <v>20</v>
      </c>
      <c r="G103" s="1" t="s">
        <v>2067</v>
      </c>
    </row>
    <row r="104" spans="1:8" s="1" customFormat="1" x14ac:dyDescent="0.2">
      <c r="A104" s="21">
        <f t="shared" si="8"/>
        <v>80</v>
      </c>
      <c r="B104" s="21">
        <f t="shared" si="6"/>
        <v>40</v>
      </c>
      <c r="C104" s="21">
        <f t="shared" si="7"/>
        <v>10</v>
      </c>
    </row>
    <row r="105" spans="1:8" s="1" customFormat="1" x14ac:dyDescent="0.2">
      <c r="A105" s="21">
        <f t="shared" si="8"/>
        <v>90</v>
      </c>
      <c r="B105" s="21">
        <f t="shared" si="6"/>
        <v>30</v>
      </c>
      <c r="C105" s="21">
        <f t="shared" si="7"/>
        <v>0</v>
      </c>
      <c r="H105" s="1" t="s">
        <v>2068</v>
      </c>
    </row>
    <row r="106" spans="1:8" s="1" customFormat="1" x14ac:dyDescent="0.2">
      <c r="A106" s="21">
        <f t="shared" si="8"/>
        <v>100</v>
      </c>
      <c r="B106" s="21">
        <f t="shared" si="6"/>
        <v>20</v>
      </c>
      <c r="C106" s="21">
        <f t="shared" si="7"/>
        <v>-10</v>
      </c>
      <c r="G106" s="1" t="s">
        <v>2069</v>
      </c>
    </row>
    <row r="107" spans="1:8" s="1" customFormat="1" x14ac:dyDescent="0.2">
      <c r="A107" s="21">
        <f t="shared" si="8"/>
        <v>110</v>
      </c>
      <c r="B107" s="21">
        <f t="shared" si="6"/>
        <v>10</v>
      </c>
      <c r="C107" s="21">
        <f t="shared" si="7"/>
        <v>-20</v>
      </c>
    </row>
    <row r="108" spans="1:8" s="1" customFormat="1" x14ac:dyDescent="0.2">
      <c r="A108" s="21">
        <f t="shared" si="8"/>
        <v>120</v>
      </c>
      <c r="B108" s="21">
        <v>0</v>
      </c>
      <c r="C108" s="21">
        <f t="shared" si="7"/>
        <v>-30</v>
      </c>
    </row>
    <row r="109" spans="1:8" s="1" customFormat="1" x14ac:dyDescent="0.2">
      <c r="A109" s="21">
        <f t="shared" si="8"/>
        <v>130</v>
      </c>
      <c r="B109" s="21">
        <v>0</v>
      </c>
      <c r="C109" s="21">
        <f t="shared" si="7"/>
        <v>-30</v>
      </c>
    </row>
    <row r="110" spans="1:8" s="1" customFormat="1" x14ac:dyDescent="0.2">
      <c r="A110" s="21">
        <f t="shared" si="8"/>
        <v>140</v>
      </c>
      <c r="B110" s="21">
        <v>0</v>
      </c>
      <c r="C110" s="21">
        <f t="shared" si="7"/>
        <v>-30</v>
      </c>
    </row>
    <row r="111" spans="1:8" s="1" customFormat="1" x14ac:dyDescent="0.2">
      <c r="A111" s="21">
        <f t="shared" si="8"/>
        <v>150</v>
      </c>
      <c r="B111" s="21">
        <v>0</v>
      </c>
      <c r="C111" s="21">
        <f t="shared" si="7"/>
        <v>-30</v>
      </c>
    </row>
    <row r="112" spans="1:8" s="1" customFormat="1" x14ac:dyDescent="0.2">
      <c r="A112" s="21">
        <f t="shared" si="8"/>
        <v>160</v>
      </c>
      <c r="B112" s="21">
        <v>0</v>
      </c>
      <c r="C112" s="21">
        <f t="shared" si="7"/>
        <v>-30</v>
      </c>
    </row>
    <row r="113" spans="1:8" s="1" customFormat="1" x14ac:dyDescent="0.2">
      <c r="A113" s="21">
        <f t="shared" si="8"/>
        <v>170</v>
      </c>
      <c r="B113" s="21">
        <v>0</v>
      </c>
      <c r="C113" s="21">
        <f t="shared" si="7"/>
        <v>-30</v>
      </c>
    </row>
    <row r="114" spans="1:8" s="1" customFormat="1" x14ac:dyDescent="0.2">
      <c r="A114" s="21">
        <f t="shared" si="8"/>
        <v>180</v>
      </c>
      <c r="B114" s="21">
        <v>0</v>
      </c>
      <c r="C114" s="21">
        <f t="shared" si="7"/>
        <v>-30</v>
      </c>
    </row>
    <row r="115" spans="1:8" s="1" customFormat="1" x14ac:dyDescent="0.2">
      <c r="A115" s="21">
        <f t="shared" si="8"/>
        <v>190</v>
      </c>
      <c r="B115" s="21">
        <v>0</v>
      </c>
      <c r="C115" s="21">
        <f t="shared" si="7"/>
        <v>-30</v>
      </c>
    </row>
    <row r="116" spans="1:8" s="1" customFormat="1" x14ac:dyDescent="0.2">
      <c r="A116" s="21">
        <f t="shared" si="8"/>
        <v>200</v>
      </c>
      <c r="B116" s="21">
        <v>0</v>
      </c>
      <c r="C116" s="21">
        <f t="shared" si="7"/>
        <v>-30</v>
      </c>
    </row>
    <row r="117" spans="1:8" s="1" customFormat="1" ht="17" thickBot="1" x14ac:dyDescent="0.25"/>
    <row r="118" spans="1:8" s="1" customFormat="1" ht="17" thickBot="1" x14ac:dyDescent="0.25">
      <c r="A118" s="15" t="s">
        <v>2070</v>
      </c>
      <c r="B118" s="16"/>
      <c r="C118" s="16"/>
      <c r="D118" s="16"/>
      <c r="E118" s="16"/>
      <c r="F118" s="35"/>
      <c r="G118" s="16"/>
      <c r="H118" s="17" t="s">
        <v>236</v>
      </c>
    </row>
    <row r="119" spans="1:8" s="1" customFormat="1" x14ac:dyDescent="0.2"/>
    <row r="120" spans="1:8" s="1" customFormat="1" x14ac:dyDescent="0.2">
      <c r="C120" s="1" t="s">
        <v>2071</v>
      </c>
    </row>
    <row r="121" spans="1:8" s="1" customFormat="1" ht="17" thickBot="1" x14ac:dyDescent="0.25">
      <c r="C121" s="1" t="s">
        <v>2072</v>
      </c>
    </row>
    <row r="122" spans="1:8" s="1" customFormat="1" x14ac:dyDescent="0.2">
      <c r="C122" s="97" t="s">
        <v>2073</v>
      </c>
      <c r="D122" s="39"/>
      <c r="E122" s="39"/>
      <c r="F122" s="39"/>
      <c r="G122" s="39"/>
      <c r="H122" s="40"/>
    </row>
    <row r="123" spans="1:8" s="1" customFormat="1" x14ac:dyDescent="0.2">
      <c r="C123" s="41" t="s">
        <v>2074</v>
      </c>
      <c r="H123" s="42"/>
    </row>
    <row r="124" spans="1:8" s="1" customFormat="1" ht="17" thickBot="1" x14ac:dyDescent="0.25">
      <c r="C124" s="43" t="s">
        <v>2075</v>
      </c>
      <c r="D124" s="44"/>
      <c r="E124" s="44"/>
      <c r="F124" s="44"/>
      <c r="G124" s="44"/>
      <c r="H124" s="45"/>
    </row>
    <row r="125" spans="1:8" s="1" customFormat="1" x14ac:dyDescent="0.2">
      <c r="C125" s="1" t="s">
        <v>2076</v>
      </c>
    </row>
    <row r="126" spans="1:8" s="1" customFormat="1" x14ac:dyDescent="0.2">
      <c r="C126" s="1" t="s">
        <v>2077</v>
      </c>
    </row>
    <row r="127" spans="1:8" s="1" customFormat="1" x14ac:dyDescent="0.2">
      <c r="C127" s="1" t="s">
        <v>2078</v>
      </c>
    </row>
    <row r="128" spans="1:8" s="1" customFormat="1" x14ac:dyDescent="0.2">
      <c r="C128" s="1" t="s">
        <v>2079</v>
      </c>
    </row>
    <row r="129" spans="1:11" s="1" customFormat="1" ht="17" thickBot="1" x14ac:dyDescent="0.25"/>
    <row r="130" spans="1:11" s="1" customFormat="1" x14ac:dyDescent="0.2">
      <c r="A130" s="21" t="s">
        <v>71</v>
      </c>
      <c r="B130" s="21"/>
      <c r="C130" s="21"/>
      <c r="D130" s="281" t="s">
        <v>2048</v>
      </c>
      <c r="H130" s="97"/>
      <c r="I130" s="39"/>
      <c r="J130" s="39"/>
      <c r="K130" s="40" t="s">
        <v>2063</v>
      </c>
    </row>
    <row r="131" spans="1:11" s="1" customFormat="1" x14ac:dyDescent="0.2">
      <c r="A131" s="75" t="s">
        <v>872</v>
      </c>
      <c r="B131" s="288" t="s">
        <v>239</v>
      </c>
      <c r="C131" s="75" t="s">
        <v>262</v>
      </c>
      <c r="D131" s="282" t="s">
        <v>2049</v>
      </c>
      <c r="H131" s="41"/>
      <c r="K131" s="42" t="s">
        <v>2064</v>
      </c>
    </row>
    <row r="132" spans="1:11" s="1" customFormat="1" x14ac:dyDescent="0.2">
      <c r="A132" s="21">
        <v>150</v>
      </c>
      <c r="B132" s="221">
        <f>200-A132</f>
        <v>50</v>
      </c>
      <c r="C132" s="21">
        <f t="shared" ref="C132:C142" si="9">B132-15</f>
        <v>35</v>
      </c>
      <c r="D132" s="285">
        <f t="shared" ref="D132:D142" si="10">C132/15</f>
        <v>2.3333333333333335</v>
      </c>
      <c r="H132" s="41"/>
      <c r="K132" s="42" t="s">
        <v>2065</v>
      </c>
    </row>
    <row r="133" spans="1:11" s="1" customFormat="1" x14ac:dyDescent="0.2">
      <c r="A133" s="21">
        <f t="shared" ref="A133:A142" si="11">A132+10</f>
        <v>160</v>
      </c>
      <c r="B133" s="221">
        <f>200-A133</f>
        <v>40</v>
      </c>
      <c r="C133" s="21">
        <f t="shared" si="9"/>
        <v>25</v>
      </c>
      <c r="D133" s="285">
        <f t="shared" si="10"/>
        <v>1.6666666666666667</v>
      </c>
      <c r="H133" s="41"/>
      <c r="J133" s="1" t="s">
        <v>2066</v>
      </c>
      <c r="K133" s="42"/>
    </row>
    <row r="134" spans="1:11" s="1" customFormat="1" x14ac:dyDescent="0.2">
      <c r="A134" s="21">
        <f t="shared" si="11"/>
        <v>170</v>
      </c>
      <c r="B134" s="221">
        <f>200-A134</f>
        <v>30</v>
      </c>
      <c r="C134" s="21">
        <f t="shared" si="9"/>
        <v>15</v>
      </c>
      <c r="D134" s="285">
        <f t="shared" si="10"/>
        <v>1</v>
      </c>
      <c r="H134" s="41"/>
      <c r="J134" s="1" t="s">
        <v>2067</v>
      </c>
      <c r="K134" s="42"/>
    </row>
    <row r="135" spans="1:11" s="1" customFormat="1" x14ac:dyDescent="0.2">
      <c r="A135" s="21">
        <f t="shared" si="11"/>
        <v>180</v>
      </c>
      <c r="B135" s="221">
        <f>200-A135</f>
        <v>20</v>
      </c>
      <c r="C135" s="21">
        <f t="shared" si="9"/>
        <v>5</v>
      </c>
      <c r="D135" s="285">
        <f t="shared" si="10"/>
        <v>0.33333333333333331</v>
      </c>
      <c r="H135" s="41"/>
      <c r="K135" s="42"/>
    </row>
    <row r="136" spans="1:11" s="1" customFormat="1" x14ac:dyDescent="0.2">
      <c r="A136" s="21">
        <f t="shared" si="11"/>
        <v>190</v>
      </c>
      <c r="B136" s="221">
        <f>200-A136</f>
        <v>10</v>
      </c>
      <c r="C136" s="21">
        <f t="shared" si="9"/>
        <v>-5</v>
      </c>
      <c r="D136" s="285">
        <f t="shared" si="10"/>
        <v>-0.33333333333333331</v>
      </c>
      <c r="H136" s="41"/>
      <c r="K136" s="42" t="s">
        <v>2068</v>
      </c>
    </row>
    <row r="137" spans="1:11" s="1" customFormat="1" ht="17" thickBot="1" x14ac:dyDescent="0.25">
      <c r="A137" s="21">
        <f t="shared" si="11"/>
        <v>200</v>
      </c>
      <c r="B137" s="221">
        <v>0</v>
      </c>
      <c r="C137" s="21">
        <f t="shared" si="9"/>
        <v>-15</v>
      </c>
      <c r="D137" s="285">
        <f t="shared" si="10"/>
        <v>-1</v>
      </c>
      <c r="H137" s="43"/>
      <c r="I137" s="44"/>
      <c r="J137" s="44" t="s">
        <v>2069</v>
      </c>
      <c r="K137" s="45"/>
    </row>
    <row r="138" spans="1:11" s="1" customFormat="1" x14ac:dyDescent="0.2">
      <c r="A138" s="21">
        <f t="shared" si="11"/>
        <v>210</v>
      </c>
      <c r="B138" s="221">
        <v>0</v>
      </c>
      <c r="C138" s="21">
        <f t="shared" si="9"/>
        <v>-15</v>
      </c>
      <c r="D138" s="285">
        <f t="shared" si="10"/>
        <v>-1</v>
      </c>
    </row>
    <row r="139" spans="1:11" s="1" customFormat="1" x14ac:dyDescent="0.2">
      <c r="A139" s="21">
        <f t="shared" si="11"/>
        <v>220</v>
      </c>
      <c r="B139" s="221">
        <v>0</v>
      </c>
      <c r="C139" s="21">
        <f t="shared" si="9"/>
        <v>-15</v>
      </c>
      <c r="D139" s="285">
        <f t="shared" si="10"/>
        <v>-1</v>
      </c>
    </row>
    <row r="140" spans="1:11" s="1" customFormat="1" x14ac:dyDescent="0.2">
      <c r="A140" s="21">
        <f t="shared" si="11"/>
        <v>230</v>
      </c>
      <c r="B140" s="221">
        <v>0</v>
      </c>
      <c r="C140" s="21">
        <f t="shared" si="9"/>
        <v>-15</v>
      </c>
      <c r="D140" s="285">
        <f t="shared" si="10"/>
        <v>-1</v>
      </c>
    </row>
    <row r="141" spans="1:11" s="1" customFormat="1" x14ac:dyDescent="0.2">
      <c r="A141" s="21">
        <f t="shared" si="11"/>
        <v>240</v>
      </c>
      <c r="B141" s="221">
        <v>0</v>
      </c>
      <c r="C141" s="21">
        <f t="shared" si="9"/>
        <v>-15</v>
      </c>
      <c r="D141" s="285">
        <f t="shared" si="10"/>
        <v>-1</v>
      </c>
    </row>
    <row r="142" spans="1:11" s="1" customFormat="1" x14ac:dyDescent="0.2">
      <c r="A142" s="21">
        <f t="shared" si="11"/>
        <v>250</v>
      </c>
      <c r="B142" s="221">
        <v>0</v>
      </c>
      <c r="C142" s="21">
        <f t="shared" si="9"/>
        <v>-15</v>
      </c>
      <c r="D142" s="285">
        <f t="shared" si="10"/>
        <v>-1</v>
      </c>
    </row>
    <row r="143" spans="1:11" s="1" customFormat="1" x14ac:dyDescent="0.2"/>
    <row r="144" spans="1:11" s="1" customFormat="1" x14ac:dyDescent="0.2"/>
    <row r="145" spans="1:2" s="1" customFormat="1" x14ac:dyDescent="0.2">
      <c r="A145" s="1" t="s">
        <v>2080</v>
      </c>
    </row>
    <row r="146" spans="1:2" s="1" customFormat="1" x14ac:dyDescent="0.2">
      <c r="A146" s="1" t="s">
        <v>2081</v>
      </c>
    </row>
    <row r="147" spans="1:2" s="1" customFormat="1" x14ac:dyDescent="0.2">
      <c r="B147" s="1" t="s">
        <v>2082</v>
      </c>
    </row>
    <row r="148" spans="1:2" s="1" customFormat="1" x14ac:dyDescent="0.2">
      <c r="B148" s="1" t="s">
        <v>2083</v>
      </c>
    </row>
    <row r="149" spans="1:2" s="1" customFormat="1" x14ac:dyDescent="0.2">
      <c r="B149" s="1" t="s">
        <v>2084</v>
      </c>
    </row>
    <row r="150" spans="1:2" s="1" customFormat="1" x14ac:dyDescent="0.2">
      <c r="B150" s="1" t="s">
        <v>2085</v>
      </c>
    </row>
    <row r="151" spans="1:2" s="1" customFormat="1" x14ac:dyDescent="0.2">
      <c r="B151" s="1" t="s">
        <v>2086</v>
      </c>
    </row>
    <row r="152" spans="1:2" s="1" customFormat="1" x14ac:dyDescent="0.2">
      <c r="B152" s="1" t="s">
        <v>2087</v>
      </c>
    </row>
    <row r="153" spans="1:2" s="1" customFormat="1" x14ac:dyDescent="0.2"/>
    <row r="154" spans="1:2" s="1" customFormat="1" x14ac:dyDescent="0.2">
      <c r="A154" s="1" t="s">
        <v>2088</v>
      </c>
    </row>
    <row r="155" spans="1:2" s="1" customFormat="1" x14ac:dyDescent="0.2">
      <c r="B155" s="1" t="s">
        <v>2089</v>
      </c>
    </row>
    <row r="156" spans="1:2" s="1" customFormat="1" x14ac:dyDescent="0.2">
      <c r="B156" s="1" t="s">
        <v>2090</v>
      </c>
    </row>
    <row r="157" spans="1:2" s="1" customFormat="1" x14ac:dyDescent="0.2">
      <c r="B157" s="1" t="s">
        <v>2091</v>
      </c>
    </row>
    <row r="158" spans="1:2" s="1" customFormat="1" x14ac:dyDescent="0.2">
      <c r="B158" s="1" t="s">
        <v>2092</v>
      </c>
    </row>
    <row r="159" spans="1:2" s="1" customFormat="1" x14ac:dyDescent="0.2"/>
    <row r="160" spans="1:2" s="1" customFormat="1" ht="17" thickBot="1" x14ac:dyDescent="0.25"/>
    <row r="161" spans="1:8" s="1" customFormat="1" ht="17" thickBot="1" x14ac:dyDescent="0.25">
      <c r="A161" s="5" t="s">
        <v>2093</v>
      </c>
      <c r="B161" s="8"/>
      <c r="C161" s="8"/>
      <c r="D161" s="8"/>
      <c r="E161" s="8"/>
      <c r="F161" s="8"/>
      <c r="G161" s="9"/>
    </row>
    <row r="162" spans="1:8" s="1" customFormat="1" x14ac:dyDescent="0.2"/>
    <row r="163" spans="1:8" s="1" customFormat="1" x14ac:dyDescent="0.2"/>
    <row r="164" spans="1:8" s="1" customFormat="1" x14ac:dyDescent="0.2">
      <c r="A164" s="36" t="s">
        <v>2094</v>
      </c>
      <c r="B164" s="37"/>
      <c r="C164" s="37"/>
      <c r="D164" s="37"/>
      <c r="E164" s="37"/>
      <c r="F164" s="37"/>
      <c r="G164" s="37"/>
      <c r="H164" s="37"/>
    </row>
    <row r="165" spans="1:8" s="1" customFormat="1" ht="17" thickBot="1" x14ac:dyDescent="0.25"/>
    <row r="166" spans="1:8" s="1" customFormat="1" x14ac:dyDescent="0.2">
      <c r="A166" s="46" t="s">
        <v>237</v>
      </c>
      <c r="B166" s="113"/>
      <c r="C166" s="113"/>
      <c r="D166" s="113"/>
      <c r="E166" s="113"/>
      <c r="F166" s="113"/>
      <c r="G166" s="113"/>
      <c r="H166" s="114"/>
    </row>
    <row r="167" spans="1:8" s="1" customFormat="1" x14ac:dyDescent="0.2">
      <c r="A167" s="41"/>
      <c r="H167" s="42"/>
    </row>
    <row r="168" spans="1:8" s="1" customFormat="1" ht="17" thickBot="1" x14ac:dyDescent="0.25">
      <c r="A168" s="110" t="s">
        <v>238</v>
      </c>
      <c r="B168" s="44"/>
      <c r="C168" s="44"/>
      <c r="D168" s="44"/>
      <c r="E168" s="44"/>
      <c r="F168" s="44"/>
      <c r="G168" s="44"/>
      <c r="H168" s="45"/>
    </row>
    <row r="169" spans="1:8" s="1" customFormat="1" x14ac:dyDescent="0.2"/>
    <row r="170" spans="1:8" s="1" customFormat="1" x14ac:dyDescent="0.2">
      <c r="A170" s="4" t="s">
        <v>78</v>
      </c>
    </row>
    <row r="171" spans="1:8" s="1" customFormat="1" x14ac:dyDescent="0.2"/>
    <row r="172" spans="1:8" s="1" customFormat="1" x14ac:dyDescent="0.2">
      <c r="A172" s="21" t="s">
        <v>71</v>
      </c>
      <c r="B172" s="21" t="s">
        <v>239</v>
      </c>
      <c r="C172" s="21" t="s">
        <v>77</v>
      </c>
    </row>
    <row r="173" spans="1:8" s="1" customFormat="1" x14ac:dyDescent="0.2">
      <c r="A173" s="21">
        <v>15</v>
      </c>
      <c r="B173" s="21">
        <f t="shared" ref="B173:B182" si="12">-IF(A173&lt;35,0,A173-35)</f>
        <v>0</v>
      </c>
      <c r="C173" s="21">
        <f t="shared" ref="C173:C182" si="13">B173+10</f>
        <v>10</v>
      </c>
    </row>
    <row r="174" spans="1:8" s="1" customFormat="1" x14ac:dyDescent="0.2">
      <c r="A174" s="21">
        <f t="shared" ref="A174:A182" si="14">A173+5</f>
        <v>20</v>
      </c>
      <c r="B174" s="21">
        <f t="shared" si="12"/>
        <v>0</v>
      </c>
      <c r="C174" s="21">
        <f t="shared" si="13"/>
        <v>10</v>
      </c>
    </row>
    <row r="175" spans="1:8" s="1" customFormat="1" x14ac:dyDescent="0.2">
      <c r="A175" s="21">
        <f t="shared" si="14"/>
        <v>25</v>
      </c>
      <c r="B175" s="21">
        <f t="shared" si="12"/>
        <v>0</v>
      </c>
      <c r="C175" s="21">
        <f t="shared" si="13"/>
        <v>10</v>
      </c>
    </row>
    <row r="176" spans="1:8" s="1" customFormat="1" x14ac:dyDescent="0.2">
      <c r="A176" s="21">
        <f t="shared" si="14"/>
        <v>30</v>
      </c>
      <c r="B176" s="21">
        <f t="shared" si="12"/>
        <v>0</v>
      </c>
      <c r="C176" s="21">
        <f t="shared" si="13"/>
        <v>10</v>
      </c>
    </row>
    <row r="177" spans="1:8" s="1" customFormat="1" x14ac:dyDescent="0.2">
      <c r="A177" s="21">
        <f t="shared" si="14"/>
        <v>35</v>
      </c>
      <c r="B177" s="21">
        <f t="shared" si="12"/>
        <v>0</v>
      </c>
      <c r="C177" s="21">
        <f t="shared" si="13"/>
        <v>10</v>
      </c>
    </row>
    <row r="178" spans="1:8" s="1" customFormat="1" x14ac:dyDescent="0.2">
      <c r="A178" s="21">
        <f t="shared" si="14"/>
        <v>40</v>
      </c>
      <c r="B178" s="21">
        <f t="shared" si="12"/>
        <v>-5</v>
      </c>
      <c r="C178" s="21">
        <f t="shared" si="13"/>
        <v>5</v>
      </c>
    </row>
    <row r="179" spans="1:8" s="1" customFormat="1" x14ac:dyDescent="0.2">
      <c r="A179" s="21">
        <f t="shared" si="14"/>
        <v>45</v>
      </c>
      <c r="B179" s="21">
        <f t="shared" si="12"/>
        <v>-10</v>
      </c>
      <c r="C179" s="21">
        <f t="shared" si="13"/>
        <v>0</v>
      </c>
    </row>
    <row r="180" spans="1:8" s="1" customFormat="1" x14ac:dyDescent="0.2">
      <c r="A180" s="21">
        <f t="shared" si="14"/>
        <v>50</v>
      </c>
      <c r="B180" s="21">
        <f t="shared" si="12"/>
        <v>-15</v>
      </c>
      <c r="C180" s="21">
        <f t="shared" si="13"/>
        <v>-5</v>
      </c>
    </row>
    <row r="181" spans="1:8" s="1" customFormat="1" x14ac:dyDescent="0.2">
      <c r="A181" s="21">
        <f t="shared" si="14"/>
        <v>55</v>
      </c>
      <c r="B181" s="21">
        <f t="shared" si="12"/>
        <v>-20</v>
      </c>
      <c r="C181" s="21">
        <f t="shared" si="13"/>
        <v>-10</v>
      </c>
    </row>
    <row r="182" spans="1:8" s="1" customFormat="1" x14ac:dyDescent="0.2">
      <c r="A182" s="21">
        <f t="shared" si="14"/>
        <v>60</v>
      </c>
      <c r="B182" s="21">
        <f t="shared" si="12"/>
        <v>-25</v>
      </c>
      <c r="C182" s="21">
        <f t="shared" si="13"/>
        <v>-15</v>
      </c>
    </row>
    <row r="183" spans="1:8" s="1" customFormat="1" x14ac:dyDescent="0.2"/>
    <row r="184" spans="1:8" s="1" customFormat="1" x14ac:dyDescent="0.2">
      <c r="A184" s="36" t="s">
        <v>2095</v>
      </c>
      <c r="B184" s="37"/>
      <c r="C184" s="37"/>
      <c r="D184" s="37"/>
      <c r="E184" s="37"/>
      <c r="F184" s="37"/>
      <c r="G184" s="37"/>
      <c r="H184" s="37"/>
    </row>
    <row r="185" spans="1:8" s="1" customFormat="1" ht="17" thickBot="1" x14ac:dyDescent="0.25"/>
    <row r="186" spans="1:8" s="1" customFormat="1" x14ac:dyDescent="0.2">
      <c r="A186" s="46" t="s">
        <v>241</v>
      </c>
      <c r="B186" s="113"/>
      <c r="C186" s="113"/>
      <c r="D186" s="113"/>
      <c r="E186" s="113"/>
      <c r="F186" s="113"/>
      <c r="G186" s="113"/>
      <c r="H186" s="114"/>
    </row>
    <row r="187" spans="1:8" s="1" customFormat="1" x14ac:dyDescent="0.2">
      <c r="A187" s="111" t="s">
        <v>242</v>
      </c>
      <c r="B187" s="4"/>
      <c r="C187" s="4"/>
      <c r="D187" s="4"/>
      <c r="E187" s="4"/>
      <c r="F187" s="4"/>
      <c r="G187" s="4"/>
      <c r="H187" s="96"/>
    </row>
    <row r="188" spans="1:8" s="1" customFormat="1" x14ac:dyDescent="0.2">
      <c r="A188" s="111"/>
      <c r="B188" s="4"/>
      <c r="C188" s="4"/>
      <c r="D188" s="4"/>
      <c r="E188" s="4"/>
      <c r="F188" s="4"/>
      <c r="G188" s="4"/>
      <c r="H188" s="96"/>
    </row>
    <row r="189" spans="1:8" s="1" customFormat="1" ht="17" thickBot="1" x14ac:dyDescent="0.25">
      <c r="A189" s="110" t="s">
        <v>243</v>
      </c>
      <c r="B189" s="115"/>
      <c r="C189" s="115"/>
      <c r="D189" s="115"/>
      <c r="E189" s="115"/>
      <c r="F189" s="115"/>
      <c r="G189" s="115"/>
      <c r="H189" s="116"/>
    </row>
    <row r="190" spans="1:8" s="1" customFormat="1" x14ac:dyDescent="0.2"/>
    <row r="191" spans="1:8" s="1" customFormat="1" x14ac:dyDescent="0.2">
      <c r="A191" s="21" t="s">
        <v>71</v>
      </c>
      <c r="B191" s="21" t="s">
        <v>239</v>
      </c>
      <c r="C191" s="21" t="s">
        <v>77</v>
      </c>
    </row>
    <row r="192" spans="1:8" s="1" customFormat="1" x14ac:dyDescent="0.2">
      <c r="A192" s="21">
        <v>0</v>
      </c>
      <c r="B192" s="21">
        <f t="shared" ref="B192:B200" si="15">IF(A192&lt;20,20-A192,0)</f>
        <v>20</v>
      </c>
      <c r="C192" s="21">
        <f t="shared" ref="C192:C200" si="16">B192-8</f>
        <v>12</v>
      </c>
    </row>
    <row r="193" spans="1:8" s="1" customFormat="1" x14ac:dyDescent="0.2">
      <c r="A193" s="21">
        <f t="shared" ref="A193:A200" si="17">A192+5</f>
        <v>5</v>
      </c>
      <c r="B193" s="21">
        <f t="shared" si="15"/>
        <v>15</v>
      </c>
      <c r="C193" s="21">
        <f t="shared" si="16"/>
        <v>7</v>
      </c>
    </row>
    <row r="194" spans="1:8" s="1" customFormat="1" x14ac:dyDescent="0.2">
      <c r="A194" s="21">
        <f t="shared" si="17"/>
        <v>10</v>
      </c>
      <c r="B194" s="21">
        <f t="shared" si="15"/>
        <v>10</v>
      </c>
      <c r="C194" s="21">
        <f t="shared" si="16"/>
        <v>2</v>
      </c>
    </row>
    <row r="195" spans="1:8" s="1" customFormat="1" x14ac:dyDescent="0.2">
      <c r="A195" s="21">
        <f t="shared" si="17"/>
        <v>15</v>
      </c>
      <c r="B195" s="21">
        <f t="shared" si="15"/>
        <v>5</v>
      </c>
      <c r="C195" s="21">
        <f t="shared" si="16"/>
        <v>-3</v>
      </c>
    </row>
    <row r="196" spans="1:8" s="1" customFormat="1" x14ac:dyDescent="0.2">
      <c r="A196" s="21">
        <f t="shared" si="17"/>
        <v>20</v>
      </c>
      <c r="B196" s="21">
        <f t="shared" si="15"/>
        <v>0</v>
      </c>
      <c r="C196" s="21">
        <f t="shared" si="16"/>
        <v>-8</v>
      </c>
    </row>
    <row r="197" spans="1:8" s="1" customFormat="1" x14ac:dyDescent="0.2">
      <c r="A197" s="21">
        <f t="shared" si="17"/>
        <v>25</v>
      </c>
      <c r="B197" s="21">
        <f t="shared" si="15"/>
        <v>0</v>
      </c>
      <c r="C197" s="21">
        <f t="shared" si="16"/>
        <v>-8</v>
      </c>
    </row>
    <row r="198" spans="1:8" s="1" customFormat="1" x14ac:dyDescent="0.2">
      <c r="A198" s="21">
        <f t="shared" si="17"/>
        <v>30</v>
      </c>
      <c r="B198" s="21">
        <f t="shared" si="15"/>
        <v>0</v>
      </c>
      <c r="C198" s="21">
        <f t="shared" si="16"/>
        <v>-8</v>
      </c>
    </row>
    <row r="199" spans="1:8" s="1" customFormat="1" x14ac:dyDescent="0.2">
      <c r="A199" s="21">
        <f t="shared" si="17"/>
        <v>35</v>
      </c>
      <c r="B199" s="21">
        <f t="shared" si="15"/>
        <v>0</v>
      </c>
      <c r="C199" s="21">
        <f t="shared" si="16"/>
        <v>-8</v>
      </c>
    </row>
    <row r="200" spans="1:8" s="1" customFormat="1" x14ac:dyDescent="0.2">
      <c r="A200" s="21">
        <f t="shared" si="17"/>
        <v>40</v>
      </c>
      <c r="B200" s="21">
        <f t="shared" si="15"/>
        <v>0</v>
      </c>
      <c r="C200" s="21">
        <f t="shared" si="16"/>
        <v>-8</v>
      </c>
    </row>
    <row r="201" spans="1:8" s="1" customFormat="1" x14ac:dyDescent="0.2"/>
    <row r="202" spans="1:8" s="1" customFormat="1" x14ac:dyDescent="0.2"/>
    <row r="203" spans="1:8" s="1" customFormat="1" x14ac:dyDescent="0.2"/>
    <row r="204" spans="1:8" s="1" customFormat="1" x14ac:dyDescent="0.2"/>
    <row r="205" spans="1:8" s="1" customFormat="1" x14ac:dyDescent="0.2"/>
    <row r="206" spans="1:8" s="1" customFormat="1" x14ac:dyDescent="0.2">
      <c r="A206" s="36" t="s">
        <v>2096</v>
      </c>
      <c r="B206" s="37"/>
      <c r="C206" s="37"/>
      <c r="D206" s="37"/>
      <c r="E206" s="37"/>
      <c r="F206" s="37"/>
      <c r="G206" s="37"/>
      <c r="H206" s="37"/>
    </row>
    <row r="207" spans="1:8" s="1" customFormat="1" x14ac:dyDescent="0.2"/>
    <row r="208" spans="1:8" s="1" customFormat="1" x14ac:dyDescent="0.2">
      <c r="A208" s="1" t="s">
        <v>2097</v>
      </c>
    </row>
    <row r="209" spans="1:4" s="1" customFormat="1" x14ac:dyDescent="0.2">
      <c r="A209" s="1" t="s">
        <v>2105</v>
      </c>
    </row>
    <row r="210" spans="1:4" s="1" customFormat="1" x14ac:dyDescent="0.2">
      <c r="A210" s="1" t="s">
        <v>2098</v>
      </c>
    </row>
    <row r="211" spans="1:4" s="1" customFormat="1" x14ac:dyDescent="0.2">
      <c r="A211" s="1" t="s">
        <v>2099</v>
      </c>
    </row>
    <row r="212" spans="1:4" s="1" customFormat="1" x14ac:dyDescent="0.2">
      <c r="A212" s="1" t="s">
        <v>2104</v>
      </c>
    </row>
    <row r="213" spans="1:4" s="1" customFormat="1" x14ac:dyDescent="0.2">
      <c r="A213" s="1" t="s">
        <v>2100</v>
      </c>
    </row>
    <row r="214" spans="1:4" s="1" customFormat="1" x14ac:dyDescent="0.2"/>
    <row r="215" spans="1:4" s="1" customFormat="1" x14ac:dyDescent="0.2">
      <c r="A215" s="1" t="s">
        <v>715</v>
      </c>
    </row>
    <row r="216" spans="1:4" s="1" customFormat="1" x14ac:dyDescent="0.2"/>
    <row r="217" spans="1:4" s="1" customFormat="1" x14ac:dyDescent="0.2">
      <c r="A217" s="21"/>
      <c r="B217" s="21" t="s">
        <v>77</v>
      </c>
      <c r="C217" s="21" t="s">
        <v>77</v>
      </c>
      <c r="D217" s="21" t="s">
        <v>77</v>
      </c>
    </row>
    <row r="218" spans="1:4" s="1" customFormat="1" x14ac:dyDescent="0.2">
      <c r="A218" s="75" t="s">
        <v>71</v>
      </c>
      <c r="B218" s="75" t="s">
        <v>2101</v>
      </c>
      <c r="C218" s="75" t="s">
        <v>2102</v>
      </c>
      <c r="D218" s="75" t="s">
        <v>2103</v>
      </c>
    </row>
    <row r="219" spans="1:4" s="1" customFormat="1" x14ac:dyDescent="0.2">
      <c r="A219" s="21">
        <v>0</v>
      </c>
      <c r="B219" s="21">
        <f t="shared" ref="B219:B225" si="18">70-A219-10</f>
        <v>60</v>
      </c>
      <c r="C219" s="21">
        <v>-15</v>
      </c>
      <c r="D219" s="21">
        <f t="shared" ref="D219:D234" si="19">A219-70</f>
        <v>-70</v>
      </c>
    </row>
    <row r="220" spans="1:4" s="1" customFormat="1" x14ac:dyDescent="0.2">
      <c r="A220" s="21">
        <f t="shared" ref="A220:A234" si="20">A219+10</f>
        <v>10</v>
      </c>
      <c r="B220" s="21">
        <f t="shared" si="18"/>
        <v>50</v>
      </c>
      <c r="C220" s="21">
        <v>-15</v>
      </c>
      <c r="D220" s="21">
        <f t="shared" si="19"/>
        <v>-60</v>
      </c>
    </row>
    <row r="221" spans="1:4" s="1" customFormat="1" x14ac:dyDescent="0.2">
      <c r="A221" s="21">
        <f t="shared" si="20"/>
        <v>20</v>
      </c>
      <c r="B221" s="21">
        <f t="shared" si="18"/>
        <v>40</v>
      </c>
      <c r="C221" s="21">
        <v>-15</v>
      </c>
      <c r="D221" s="21">
        <f t="shared" si="19"/>
        <v>-50</v>
      </c>
    </row>
    <row r="222" spans="1:4" s="1" customFormat="1" x14ac:dyDescent="0.2">
      <c r="A222" s="21">
        <f t="shared" si="20"/>
        <v>30</v>
      </c>
      <c r="B222" s="21">
        <f t="shared" si="18"/>
        <v>30</v>
      </c>
      <c r="C222" s="21">
        <v>-15</v>
      </c>
      <c r="D222" s="21">
        <f t="shared" si="19"/>
        <v>-40</v>
      </c>
    </row>
    <row r="223" spans="1:4" s="1" customFormat="1" x14ac:dyDescent="0.2">
      <c r="A223" s="21">
        <f t="shared" si="20"/>
        <v>40</v>
      </c>
      <c r="B223" s="21">
        <f t="shared" si="18"/>
        <v>20</v>
      </c>
      <c r="C223" s="21">
        <v>-15</v>
      </c>
      <c r="D223" s="21">
        <f t="shared" si="19"/>
        <v>-30</v>
      </c>
    </row>
    <row r="224" spans="1:4" s="1" customFormat="1" x14ac:dyDescent="0.2">
      <c r="A224" s="21">
        <f t="shared" si="20"/>
        <v>50</v>
      </c>
      <c r="B224" s="21">
        <f t="shared" si="18"/>
        <v>10</v>
      </c>
      <c r="C224" s="21">
        <v>-15</v>
      </c>
      <c r="D224" s="21">
        <f t="shared" si="19"/>
        <v>-20</v>
      </c>
    </row>
    <row r="225" spans="1:4" s="1" customFormat="1" x14ac:dyDescent="0.2">
      <c r="A225" s="21">
        <f t="shared" si="20"/>
        <v>60</v>
      </c>
      <c r="B225" s="21">
        <f t="shared" si="18"/>
        <v>0</v>
      </c>
      <c r="C225" s="21">
        <v>-15</v>
      </c>
      <c r="D225" s="21">
        <f t="shared" si="19"/>
        <v>-10</v>
      </c>
    </row>
    <row r="226" spans="1:4" s="1" customFormat="1" x14ac:dyDescent="0.2">
      <c r="A226" s="21">
        <f t="shared" si="20"/>
        <v>70</v>
      </c>
      <c r="B226" s="21">
        <v>-10</v>
      </c>
      <c r="C226" s="21">
        <v>-15</v>
      </c>
      <c r="D226" s="21">
        <f t="shared" si="19"/>
        <v>0</v>
      </c>
    </row>
    <row r="227" spans="1:4" s="1" customFormat="1" x14ac:dyDescent="0.2">
      <c r="A227" s="21">
        <f t="shared" si="20"/>
        <v>80</v>
      </c>
      <c r="B227" s="21">
        <v>-10</v>
      </c>
      <c r="C227" s="21">
        <f t="shared" ref="C227:C234" si="21">A227-70-15</f>
        <v>-5</v>
      </c>
      <c r="D227" s="21">
        <f t="shared" si="19"/>
        <v>10</v>
      </c>
    </row>
    <row r="228" spans="1:4" s="1" customFormat="1" x14ac:dyDescent="0.2">
      <c r="A228" s="21">
        <f t="shared" si="20"/>
        <v>90</v>
      </c>
      <c r="B228" s="21">
        <v>-10</v>
      </c>
      <c r="C228" s="21">
        <f t="shared" si="21"/>
        <v>5</v>
      </c>
      <c r="D228" s="21">
        <f t="shared" si="19"/>
        <v>20</v>
      </c>
    </row>
    <row r="229" spans="1:4" s="1" customFormat="1" x14ac:dyDescent="0.2">
      <c r="A229" s="21">
        <f t="shared" si="20"/>
        <v>100</v>
      </c>
      <c r="B229" s="21">
        <v>-10</v>
      </c>
      <c r="C229" s="21">
        <f t="shared" si="21"/>
        <v>15</v>
      </c>
      <c r="D229" s="21">
        <f t="shared" si="19"/>
        <v>30</v>
      </c>
    </row>
    <row r="230" spans="1:4" s="1" customFormat="1" x14ac:dyDescent="0.2">
      <c r="A230" s="21">
        <f t="shared" si="20"/>
        <v>110</v>
      </c>
      <c r="B230" s="21">
        <v>-10</v>
      </c>
      <c r="C230" s="21">
        <f t="shared" si="21"/>
        <v>25</v>
      </c>
      <c r="D230" s="21">
        <f t="shared" si="19"/>
        <v>40</v>
      </c>
    </row>
    <row r="231" spans="1:4" s="1" customFormat="1" x14ac:dyDescent="0.2">
      <c r="A231" s="21">
        <f t="shared" si="20"/>
        <v>120</v>
      </c>
      <c r="B231" s="21">
        <v>-10</v>
      </c>
      <c r="C231" s="21">
        <f t="shared" si="21"/>
        <v>35</v>
      </c>
      <c r="D231" s="21">
        <f t="shared" si="19"/>
        <v>50</v>
      </c>
    </row>
    <row r="232" spans="1:4" s="1" customFormat="1" x14ac:dyDescent="0.2">
      <c r="A232" s="21">
        <f t="shared" si="20"/>
        <v>130</v>
      </c>
      <c r="B232" s="21">
        <v>-10</v>
      </c>
      <c r="C232" s="21">
        <f t="shared" si="21"/>
        <v>45</v>
      </c>
      <c r="D232" s="21">
        <f t="shared" si="19"/>
        <v>60</v>
      </c>
    </row>
    <row r="233" spans="1:4" s="1" customFormat="1" x14ac:dyDescent="0.2">
      <c r="A233" s="21">
        <f t="shared" si="20"/>
        <v>140</v>
      </c>
      <c r="B233" s="21">
        <v>-10</v>
      </c>
      <c r="C233" s="21">
        <f t="shared" si="21"/>
        <v>55</v>
      </c>
      <c r="D233" s="21">
        <f t="shared" si="19"/>
        <v>70</v>
      </c>
    </row>
    <row r="234" spans="1:4" s="1" customFormat="1" x14ac:dyDescent="0.2">
      <c r="A234" s="21">
        <f t="shared" si="20"/>
        <v>150</v>
      </c>
      <c r="B234" s="21">
        <v>-10</v>
      </c>
      <c r="C234" s="21">
        <f t="shared" si="21"/>
        <v>65</v>
      </c>
      <c r="D234" s="21">
        <f t="shared" si="19"/>
        <v>80</v>
      </c>
    </row>
    <row r="235" spans="1:4" s="1" customFormat="1" x14ac:dyDescent="0.2"/>
    <row r="236" spans="1:4" s="1" customFormat="1" x14ac:dyDescent="0.2"/>
    <row r="237" spans="1:4" s="1" customFormat="1" x14ac:dyDescent="0.2"/>
    <row r="310" s="1" customFormat="1" x14ac:dyDescent="0.2"/>
    <row r="311" s="1" customFormat="1" x14ac:dyDescent="0.2"/>
    <row r="312" s="1" customFormat="1" x14ac:dyDescent="0.2"/>
    <row r="313" s="1" customFormat="1" x14ac:dyDescent="0.2"/>
    <row r="314" s="1" customFormat="1" x14ac:dyDescent="0.2"/>
    <row r="315" s="1" customFormat="1" x14ac:dyDescent="0.2"/>
    <row r="316" s="1" customFormat="1" x14ac:dyDescent="0.2"/>
    <row r="317" s="1" customFormat="1" x14ac:dyDescent="0.2"/>
    <row r="318" s="1" customFormat="1" x14ac:dyDescent="0.2"/>
    <row r="319" s="1" customFormat="1" x14ac:dyDescent="0.2"/>
    <row r="320" s="1" customFormat="1" x14ac:dyDescent="0.2"/>
    <row r="321" s="1" customFormat="1" x14ac:dyDescent="0.2"/>
    <row r="322" s="1" customFormat="1" x14ac:dyDescent="0.2"/>
    <row r="323" s="1" customFormat="1" x14ac:dyDescent="0.2"/>
    <row r="324" s="1" customFormat="1" x14ac:dyDescent="0.2"/>
    <row r="325" s="1" customFormat="1" x14ac:dyDescent="0.2"/>
    <row r="326" s="1" customFormat="1" x14ac:dyDescent="0.2"/>
    <row r="327" s="1" customFormat="1" x14ac:dyDescent="0.2"/>
    <row r="328" s="1" customFormat="1" x14ac:dyDescent="0.2"/>
    <row r="329" s="1" customFormat="1" x14ac:dyDescent="0.2"/>
    <row r="330" s="1" customFormat="1" x14ac:dyDescent="0.2"/>
    <row r="331" s="1" customFormat="1" x14ac:dyDescent="0.2"/>
    <row r="332" s="1" customFormat="1" x14ac:dyDescent="0.2"/>
    <row r="333" s="1" customFormat="1" x14ac:dyDescent="0.2"/>
    <row r="334" s="1" customFormat="1" x14ac:dyDescent="0.2"/>
    <row r="335" s="1" customFormat="1" x14ac:dyDescent="0.2"/>
    <row r="336" s="1" customFormat="1" x14ac:dyDescent="0.2"/>
    <row r="337" spans="1:5" s="1" customFormat="1" x14ac:dyDescent="0.2"/>
    <row r="338" spans="1:5" s="1" customFormat="1" x14ac:dyDescent="0.2"/>
    <row r="339" spans="1:5" s="1" customFormat="1" x14ac:dyDescent="0.2"/>
    <row r="340" spans="1:5" s="1" customFormat="1" x14ac:dyDescent="0.2"/>
    <row r="341" spans="1:5" s="1" customFormat="1" x14ac:dyDescent="0.2"/>
    <row r="342" spans="1:5" s="1" customFormat="1" x14ac:dyDescent="0.2">
      <c r="A342" s="4" t="s">
        <v>131</v>
      </c>
    </row>
    <row r="343" spans="1:5" s="1" customFormat="1" x14ac:dyDescent="0.2"/>
    <row r="344" spans="1:5" s="1" customFormat="1" x14ac:dyDescent="0.2"/>
    <row r="345" spans="1:5" s="1" customFormat="1" x14ac:dyDescent="0.2">
      <c r="A345" s="14" t="s">
        <v>69</v>
      </c>
      <c r="B345" s="14" t="s">
        <v>72</v>
      </c>
      <c r="C345" s="14" t="s">
        <v>75</v>
      </c>
      <c r="E345" s="1" t="s">
        <v>130</v>
      </c>
    </row>
    <row r="346" spans="1:5" s="1" customFormat="1" x14ac:dyDescent="0.2">
      <c r="A346" s="14" t="s">
        <v>70</v>
      </c>
      <c r="B346" s="14" t="s">
        <v>73</v>
      </c>
      <c r="C346" s="14" t="s">
        <v>76</v>
      </c>
    </row>
    <row r="347" spans="1:5" s="1" customFormat="1" x14ac:dyDescent="0.2">
      <c r="A347" s="14" t="s">
        <v>71</v>
      </c>
      <c r="B347" s="14" t="s">
        <v>74</v>
      </c>
      <c r="C347" s="14" t="s">
        <v>77</v>
      </c>
    </row>
    <row r="348" spans="1:5" s="1" customFormat="1" x14ac:dyDescent="0.2">
      <c r="A348" s="14">
        <v>20</v>
      </c>
      <c r="B348" s="34">
        <v>0</v>
      </c>
      <c r="C348" s="34">
        <f t="shared" ref="C348:C359" si="22">B348-10</f>
        <v>-10</v>
      </c>
    </row>
    <row r="349" spans="1:5" s="1" customFormat="1" x14ac:dyDescent="0.2">
      <c r="A349" s="14">
        <f t="shared" ref="A349:A359" si="23">A348+10</f>
        <v>30</v>
      </c>
      <c r="B349" s="34">
        <v>0</v>
      </c>
      <c r="C349" s="34">
        <f t="shared" si="22"/>
        <v>-10</v>
      </c>
    </row>
    <row r="350" spans="1:5" s="1" customFormat="1" x14ac:dyDescent="0.2">
      <c r="A350" s="14">
        <f t="shared" si="23"/>
        <v>40</v>
      </c>
      <c r="B350" s="34">
        <v>0</v>
      </c>
      <c r="C350" s="34">
        <f t="shared" si="22"/>
        <v>-10</v>
      </c>
    </row>
    <row r="351" spans="1:5" s="1" customFormat="1" x14ac:dyDescent="0.2">
      <c r="A351" s="14">
        <f t="shared" si="23"/>
        <v>50</v>
      </c>
      <c r="B351" s="34">
        <v>0</v>
      </c>
      <c r="C351" s="34">
        <f t="shared" si="22"/>
        <v>-10</v>
      </c>
    </row>
    <row r="352" spans="1:5" s="1" customFormat="1" x14ac:dyDescent="0.2">
      <c r="A352" s="14">
        <f t="shared" si="23"/>
        <v>60</v>
      </c>
      <c r="B352" s="34">
        <v>0</v>
      </c>
      <c r="C352" s="34">
        <f t="shared" si="22"/>
        <v>-10</v>
      </c>
    </row>
    <row r="353" spans="1:8" s="1" customFormat="1" x14ac:dyDescent="0.2">
      <c r="A353" s="14">
        <f t="shared" si="23"/>
        <v>70</v>
      </c>
      <c r="B353" s="34">
        <f t="shared" ref="B353:B359" si="24">A353-60</f>
        <v>10</v>
      </c>
      <c r="C353" s="34">
        <f t="shared" si="22"/>
        <v>0</v>
      </c>
    </row>
    <row r="354" spans="1:8" s="1" customFormat="1" x14ac:dyDescent="0.2">
      <c r="A354" s="14">
        <f t="shared" si="23"/>
        <v>80</v>
      </c>
      <c r="B354" s="34">
        <f t="shared" si="24"/>
        <v>20</v>
      </c>
      <c r="C354" s="34">
        <f t="shared" si="22"/>
        <v>10</v>
      </c>
    </row>
    <row r="355" spans="1:8" s="1" customFormat="1" x14ac:dyDescent="0.2">
      <c r="A355" s="14">
        <f t="shared" si="23"/>
        <v>90</v>
      </c>
      <c r="B355" s="34">
        <f t="shared" si="24"/>
        <v>30</v>
      </c>
      <c r="C355" s="34">
        <f t="shared" si="22"/>
        <v>20</v>
      </c>
    </row>
    <row r="356" spans="1:8" s="1" customFormat="1" x14ac:dyDescent="0.2">
      <c r="A356" s="14">
        <f t="shared" si="23"/>
        <v>100</v>
      </c>
      <c r="B356" s="34">
        <f t="shared" si="24"/>
        <v>40</v>
      </c>
      <c r="C356" s="34">
        <f t="shared" si="22"/>
        <v>30</v>
      </c>
    </row>
    <row r="357" spans="1:8" s="1" customFormat="1" x14ac:dyDescent="0.2">
      <c r="A357" s="14">
        <f t="shared" si="23"/>
        <v>110</v>
      </c>
      <c r="B357" s="34">
        <f t="shared" si="24"/>
        <v>50</v>
      </c>
      <c r="C357" s="34">
        <f t="shared" si="22"/>
        <v>40</v>
      </c>
    </row>
    <row r="358" spans="1:8" s="1" customFormat="1" x14ac:dyDescent="0.2">
      <c r="A358" s="14">
        <f t="shared" si="23"/>
        <v>120</v>
      </c>
      <c r="B358" s="34">
        <f t="shared" si="24"/>
        <v>60</v>
      </c>
      <c r="C358" s="34">
        <f t="shared" si="22"/>
        <v>50</v>
      </c>
    </row>
    <row r="359" spans="1:8" s="1" customFormat="1" x14ac:dyDescent="0.2">
      <c r="A359" s="14">
        <f t="shared" si="23"/>
        <v>130</v>
      </c>
      <c r="B359" s="34">
        <f t="shared" si="24"/>
        <v>70</v>
      </c>
      <c r="C359" s="34">
        <f t="shared" si="22"/>
        <v>60</v>
      </c>
    </row>
    <row r="360" spans="1:8" s="1" customFormat="1" ht="17" thickBot="1" x14ac:dyDescent="0.25"/>
    <row r="361" spans="1:8" s="1" customFormat="1" ht="17" thickBot="1" x14ac:dyDescent="0.25">
      <c r="A361" s="5" t="s">
        <v>99</v>
      </c>
      <c r="B361" s="8"/>
      <c r="C361" s="8"/>
      <c r="D361" s="8"/>
      <c r="E361" s="8"/>
      <c r="F361" s="8"/>
      <c r="G361" s="8"/>
      <c r="H361" s="9"/>
    </row>
    <row r="362" spans="1:8" s="1" customFormat="1" x14ac:dyDescent="0.2"/>
    <row r="363" spans="1:8" s="1" customFormat="1" x14ac:dyDescent="0.2">
      <c r="A363" s="1" t="s">
        <v>100</v>
      </c>
    </row>
    <row r="364" spans="1:8" s="1" customFormat="1" x14ac:dyDescent="0.2">
      <c r="A364" s="1" t="s">
        <v>101</v>
      </c>
    </row>
    <row r="365" spans="1:8" s="1" customFormat="1" x14ac:dyDescent="0.2">
      <c r="A365" s="1" t="s">
        <v>102</v>
      </c>
    </row>
    <row r="366" spans="1:8" s="1" customFormat="1" x14ac:dyDescent="0.2">
      <c r="A366" s="1" t="s">
        <v>103</v>
      </c>
    </row>
    <row r="367" spans="1:8" s="1" customFormat="1" x14ac:dyDescent="0.2">
      <c r="A367" s="1" t="s">
        <v>104</v>
      </c>
    </row>
    <row r="368" spans="1:8" s="1" customFormat="1" x14ac:dyDescent="0.2">
      <c r="A368" s="1" t="s">
        <v>105</v>
      </c>
    </row>
    <row r="369" spans="1:1" s="1" customFormat="1" x14ac:dyDescent="0.2"/>
    <row r="370" spans="1:1" s="1" customFormat="1" x14ac:dyDescent="0.2">
      <c r="A370" s="1" t="s">
        <v>106</v>
      </c>
    </row>
    <row r="371" spans="1:1" s="1" customFormat="1" x14ac:dyDescent="0.2">
      <c r="A371" s="1" t="s">
        <v>107</v>
      </c>
    </row>
    <row r="372" spans="1:1" s="1" customFormat="1" x14ac:dyDescent="0.2"/>
    <row r="373" spans="1:1" s="1" customFormat="1" x14ac:dyDescent="0.2"/>
    <row r="374" spans="1:1" s="1" customFormat="1" x14ac:dyDescent="0.2"/>
    <row r="375" spans="1:1" s="1" customFormat="1" x14ac:dyDescent="0.2"/>
    <row r="376" spans="1:1" s="1" customFormat="1" x14ac:dyDescent="0.2"/>
    <row r="377" spans="1:1" s="1" customFormat="1" x14ac:dyDescent="0.2"/>
    <row r="378" spans="1:1" s="1" customFormat="1" x14ac:dyDescent="0.2"/>
    <row r="379" spans="1:1" s="1" customFormat="1" x14ac:dyDescent="0.2"/>
    <row r="380" spans="1:1" s="1" customFormat="1" x14ac:dyDescent="0.2"/>
    <row r="381" spans="1:1" s="1" customFormat="1" x14ac:dyDescent="0.2"/>
    <row r="382" spans="1:1" s="1" customFormat="1" x14ac:dyDescent="0.2"/>
    <row r="383" spans="1:1" s="1" customFormat="1" x14ac:dyDescent="0.2"/>
    <row r="384" spans="1:1" s="1" customFormat="1" x14ac:dyDescent="0.2"/>
    <row r="385" s="1" customFormat="1" x14ac:dyDescent="0.2"/>
    <row r="386" s="1" customFormat="1" x14ac:dyDescent="0.2"/>
    <row r="387" s="1" customFormat="1" x14ac:dyDescent="0.2"/>
    <row r="388" s="1" customFormat="1" x14ac:dyDescent="0.2"/>
    <row r="389" s="1" customFormat="1" x14ac:dyDescent="0.2"/>
    <row r="390" s="1" customFormat="1" x14ac:dyDescent="0.2"/>
    <row r="391" s="1" customFormat="1" x14ac:dyDescent="0.2"/>
    <row r="392" s="1" customFormat="1" x14ac:dyDescent="0.2"/>
    <row r="393" s="1" customFormat="1" x14ac:dyDescent="0.2"/>
    <row r="394" s="1" customFormat="1" x14ac:dyDescent="0.2"/>
    <row r="395" s="1" customFormat="1" x14ac:dyDescent="0.2"/>
    <row r="396" s="1" customFormat="1" x14ac:dyDescent="0.2"/>
    <row r="397" s="1" customFormat="1" x14ac:dyDescent="0.2"/>
    <row r="398" s="1" customFormat="1" x14ac:dyDescent="0.2"/>
    <row r="399" s="1" customFormat="1" x14ac:dyDescent="0.2"/>
    <row r="400" s="1" customFormat="1" x14ac:dyDescent="0.2"/>
    <row r="401" s="1" customFormat="1" x14ac:dyDescent="0.2"/>
    <row r="402" s="1" customFormat="1" x14ac:dyDescent="0.2"/>
    <row r="403" s="1" customFormat="1" x14ac:dyDescent="0.2"/>
    <row r="404" s="1" customFormat="1" x14ac:dyDescent="0.2"/>
    <row r="405" s="1" customFormat="1" x14ac:dyDescent="0.2"/>
    <row r="406" s="1" customFormat="1" x14ac:dyDescent="0.2"/>
    <row r="407" s="1" customFormat="1" x14ac:dyDescent="0.2"/>
    <row r="408" s="1" customFormat="1" x14ac:dyDescent="0.2"/>
    <row r="409" s="1" customFormat="1" x14ac:dyDescent="0.2"/>
    <row r="410" s="1" customFormat="1" x14ac:dyDescent="0.2"/>
    <row r="411" s="1" customFormat="1" x14ac:dyDescent="0.2"/>
    <row r="412" s="1" customFormat="1" x14ac:dyDescent="0.2"/>
    <row r="413" s="1" customFormat="1" x14ac:dyDescent="0.2"/>
    <row r="414" s="1" customFormat="1" x14ac:dyDescent="0.2"/>
    <row r="415" s="1" customFormat="1" x14ac:dyDescent="0.2"/>
    <row r="416" s="1" customFormat="1" ht="17" thickBot="1" x14ac:dyDescent="0.25"/>
    <row r="417" spans="1:8" s="1" customFormat="1" ht="22" thickBot="1" x14ac:dyDescent="0.3">
      <c r="A417" s="10" t="s">
        <v>244</v>
      </c>
      <c r="B417" s="11"/>
      <c r="C417" s="11"/>
      <c r="D417" s="11"/>
      <c r="E417" s="11"/>
      <c r="F417" s="11"/>
      <c r="G417" s="11"/>
      <c r="H417" s="12"/>
    </row>
    <row r="418" spans="1:8" s="1" customFormat="1" x14ac:dyDescent="0.2"/>
    <row r="419" spans="1:8" s="1" customFormat="1" x14ac:dyDescent="0.2">
      <c r="A419" s="1" t="s">
        <v>138</v>
      </c>
    </row>
    <row r="420" spans="1:8" s="1" customFormat="1" x14ac:dyDescent="0.2">
      <c r="A420" s="1" t="s">
        <v>140</v>
      </c>
    </row>
    <row r="421" spans="1:8" s="1" customFormat="1" x14ac:dyDescent="0.2">
      <c r="A421" s="1" t="s">
        <v>139</v>
      </c>
    </row>
    <row r="422" spans="1:8" s="1" customFormat="1" x14ac:dyDescent="0.2"/>
    <row r="423" spans="1:8" s="1" customFormat="1" x14ac:dyDescent="0.2">
      <c r="A423" s="1" t="s">
        <v>141</v>
      </c>
    </row>
    <row r="424" spans="1:8" s="1" customFormat="1" x14ac:dyDescent="0.2">
      <c r="A424" s="1" t="s">
        <v>148</v>
      </c>
    </row>
    <row r="425" spans="1:8" s="1" customFormat="1" x14ac:dyDescent="0.2"/>
    <row r="426" spans="1:8" s="1" customFormat="1" x14ac:dyDescent="0.2">
      <c r="A426" s="4" t="s">
        <v>206</v>
      </c>
    </row>
    <row r="427" spans="1:8" s="1" customFormat="1" x14ac:dyDescent="0.2"/>
    <row r="428" spans="1:8" s="1" customFormat="1" x14ac:dyDescent="0.2">
      <c r="B428" s="1" t="s">
        <v>142</v>
      </c>
      <c r="C428" s="21" t="s">
        <v>92</v>
      </c>
      <c r="D428" s="1" t="s">
        <v>143</v>
      </c>
      <c r="F428" s="21" t="s">
        <v>144</v>
      </c>
      <c r="G428" s="1" t="s">
        <v>128</v>
      </c>
    </row>
    <row r="429" spans="1:8" s="1" customFormat="1" x14ac:dyDescent="0.2">
      <c r="B429" s="1" t="s">
        <v>145</v>
      </c>
      <c r="C429" s="21" t="s">
        <v>146</v>
      </c>
      <c r="D429" s="1" t="s">
        <v>143</v>
      </c>
      <c r="F429" s="21">
        <v>0</v>
      </c>
      <c r="G429" s="1" t="s">
        <v>128</v>
      </c>
    </row>
    <row r="430" spans="1:8" s="1" customFormat="1" x14ac:dyDescent="0.2">
      <c r="B430" s="1" t="s">
        <v>142</v>
      </c>
      <c r="C430" s="21" t="s">
        <v>147</v>
      </c>
      <c r="D430" s="1" t="s">
        <v>143</v>
      </c>
      <c r="F430" s="21">
        <v>0</v>
      </c>
      <c r="G430" s="1" t="s">
        <v>128</v>
      </c>
    </row>
    <row r="431" spans="1:8" s="1" customFormat="1" x14ac:dyDescent="0.2"/>
    <row r="432" spans="1:8" s="1" customFormat="1" x14ac:dyDescent="0.2">
      <c r="A432" s="1" t="s">
        <v>150</v>
      </c>
    </row>
    <row r="433" spans="1:7" s="1" customFormat="1" x14ac:dyDescent="0.2">
      <c r="A433" s="1" t="s">
        <v>151</v>
      </c>
    </row>
    <row r="434" spans="1:7" s="1" customFormat="1" x14ac:dyDescent="0.2">
      <c r="G434" s="1" t="s">
        <v>149</v>
      </c>
    </row>
    <row r="435" spans="1:7" s="1" customFormat="1" x14ac:dyDescent="0.2"/>
    <row r="436" spans="1:7" s="1" customFormat="1" x14ac:dyDescent="0.2">
      <c r="A436" s="1" t="s">
        <v>152</v>
      </c>
    </row>
    <row r="437" spans="1:7" s="1" customFormat="1" x14ac:dyDescent="0.2">
      <c r="A437" s="1" t="s">
        <v>153</v>
      </c>
    </row>
    <row r="438" spans="1:7" s="1" customFormat="1" x14ac:dyDescent="0.2">
      <c r="A438" s="1" t="s">
        <v>154</v>
      </c>
    </row>
    <row r="439" spans="1:7" s="1" customFormat="1" x14ac:dyDescent="0.2">
      <c r="A439" s="1" t="s">
        <v>155</v>
      </c>
    </row>
    <row r="440" spans="1:7" s="1" customFormat="1" x14ac:dyDescent="0.2"/>
    <row r="441" spans="1:7" s="1" customFormat="1" x14ac:dyDescent="0.2"/>
    <row r="442" spans="1:7" s="1" customFormat="1" x14ac:dyDescent="0.2"/>
    <row r="443" spans="1:7" s="1" customFormat="1" x14ac:dyDescent="0.2"/>
    <row r="444" spans="1:7" s="1" customFormat="1" x14ac:dyDescent="0.2"/>
    <row r="445" spans="1:7" s="1" customFormat="1" x14ac:dyDescent="0.2"/>
    <row r="446" spans="1:7" s="1" customFormat="1" x14ac:dyDescent="0.2"/>
    <row r="447" spans="1:7" s="1" customFormat="1" x14ac:dyDescent="0.2"/>
    <row r="448" spans="1:7" s="1" customFormat="1" x14ac:dyDescent="0.2"/>
    <row r="449" spans="1:8" s="1" customFormat="1" x14ac:dyDescent="0.2"/>
    <row r="450" spans="1:8" s="1" customFormat="1" x14ac:dyDescent="0.2"/>
    <row r="451" spans="1:8" s="1" customFormat="1" x14ac:dyDescent="0.2"/>
    <row r="452" spans="1:8" s="1" customFormat="1" x14ac:dyDescent="0.2"/>
    <row r="453" spans="1:8" s="1" customFormat="1" x14ac:dyDescent="0.2"/>
    <row r="454" spans="1:8" s="1" customFormat="1" ht="17" thickBot="1" x14ac:dyDescent="0.25"/>
    <row r="455" spans="1:8" s="1" customFormat="1" ht="17" thickBot="1" x14ac:dyDescent="0.25">
      <c r="A455" s="15" t="s">
        <v>168</v>
      </c>
      <c r="B455" s="16"/>
      <c r="C455" s="16"/>
      <c r="D455" s="16"/>
      <c r="E455" s="16"/>
      <c r="F455" s="16"/>
      <c r="G455" s="16"/>
      <c r="H455" s="17"/>
    </row>
    <row r="456" spans="1:8" s="1" customFormat="1" x14ac:dyDescent="0.2"/>
    <row r="457" spans="1:8" s="1" customFormat="1" x14ac:dyDescent="0.2">
      <c r="A457" s="1" t="s">
        <v>156</v>
      </c>
    </row>
    <row r="458" spans="1:8" s="1" customFormat="1" x14ac:dyDescent="0.2">
      <c r="A458" s="1" t="s">
        <v>157</v>
      </c>
    </row>
    <row r="459" spans="1:8" s="1" customFormat="1" x14ac:dyDescent="0.2">
      <c r="A459" s="1" t="s">
        <v>158</v>
      </c>
    </row>
    <row r="460" spans="1:8" s="1" customFormat="1" x14ac:dyDescent="0.2">
      <c r="A460" s="1" t="s">
        <v>159</v>
      </c>
    </row>
    <row r="461" spans="1:8" s="1" customFormat="1" x14ac:dyDescent="0.2">
      <c r="A461" s="1" t="s">
        <v>160</v>
      </c>
    </row>
    <row r="462" spans="1:8" s="1" customFormat="1" x14ac:dyDescent="0.2">
      <c r="A462" s="1" t="s">
        <v>161</v>
      </c>
    </row>
    <row r="463" spans="1:8" s="1" customFormat="1" x14ac:dyDescent="0.2">
      <c r="A463" s="1" t="s">
        <v>162</v>
      </c>
    </row>
    <row r="464" spans="1:8" s="1" customFormat="1" x14ac:dyDescent="0.2"/>
    <row r="465" spans="1:3" s="1" customFormat="1" x14ac:dyDescent="0.2">
      <c r="A465" s="4" t="s">
        <v>163</v>
      </c>
    </row>
    <row r="466" spans="1:3" s="1" customFormat="1" x14ac:dyDescent="0.2">
      <c r="A466" s="1" t="s">
        <v>164</v>
      </c>
    </row>
    <row r="467" spans="1:3" s="1" customFormat="1" x14ac:dyDescent="0.2">
      <c r="A467" s="1" t="s">
        <v>165</v>
      </c>
    </row>
    <row r="468" spans="1:3" s="1" customFormat="1" x14ac:dyDescent="0.2">
      <c r="A468" s="1" t="s">
        <v>166</v>
      </c>
    </row>
    <row r="469" spans="1:3" s="1" customFormat="1" x14ac:dyDescent="0.2">
      <c r="A469" s="1" t="s">
        <v>167</v>
      </c>
    </row>
    <row r="470" spans="1:3" s="1" customFormat="1" x14ac:dyDescent="0.2"/>
    <row r="471" spans="1:3" s="1" customFormat="1" x14ac:dyDescent="0.2">
      <c r="A471" s="4" t="s">
        <v>78</v>
      </c>
    </row>
    <row r="472" spans="1:3" s="1" customFormat="1" x14ac:dyDescent="0.2">
      <c r="A472" s="4"/>
    </row>
    <row r="473" spans="1:3" s="1" customFormat="1" x14ac:dyDescent="0.2">
      <c r="A473" s="21" t="s">
        <v>212</v>
      </c>
      <c r="B473" s="21" t="s">
        <v>72</v>
      </c>
      <c r="C473" s="21" t="s">
        <v>213</v>
      </c>
    </row>
    <row r="474" spans="1:3" s="1" customFormat="1" x14ac:dyDescent="0.2">
      <c r="A474" s="21" t="s">
        <v>71</v>
      </c>
      <c r="B474" s="21" t="s">
        <v>74</v>
      </c>
      <c r="C474" s="21" t="s">
        <v>77</v>
      </c>
    </row>
    <row r="475" spans="1:3" s="1" customFormat="1" x14ac:dyDescent="0.2">
      <c r="A475" s="21">
        <v>60</v>
      </c>
      <c r="B475" s="32">
        <v>0</v>
      </c>
      <c r="C475" s="21">
        <f t="shared" ref="C475:C483" si="25">B475+20</f>
        <v>20</v>
      </c>
    </row>
    <row r="476" spans="1:3" s="1" customFormat="1" x14ac:dyDescent="0.2">
      <c r="A476" s="21">
        <f t="shared" ref="A476:A483" si="26">A475+10</f>
        <v>70</v>
      </c>
      <c r="B476" s="21">
        <v>0</v>
      </c>
      <c r="C476" s="21">
        <f t="shared" si="25"/>
        <v>20</v>
      </c>
    </row>
    <row r="477" spans="1:3" s="1" customFormat="1" x14ac:dyDescent="0.2">
      <c r="A477" s="21">
        <f t="shared" si="26"/>
        <v>80</v>
      </c>
      <c r="B477" s="21">
        <v>0</v>
      </c>
      <c r="C477" s="21">
        <f t="shared" si="25"/>
        <v>20</v>
      </c>
    </row>
    <row r="478" spans="1:3" s="1" customFormat="1" x14ac:dyDescent="0.2">
      <c r="A478" s="21">
        <f t="shared" si="26"/>
        <v>90</v>
      </c>
      <c r="B478" s="21">
        <v>0</v>
      </c>
      <c r="C478" s="21">
        <f t="shared" si="25"/>
        <v>20</v>
      </c>
    </row>
    <row r="479" spans="1:3" s="1" customFormat="1" x14ac:dyDescent="0.2">
      <c r="A479" s="21">
        <f t="shared" si="26"/>
        <v>100</v>
      </c>
      <c r="B479" s="21">
        <v>0</v>
      </c>
      <c r="C479" s="21">
        <f t="shared" si="25"/>
        <v>20</v>
      </c>
    </row>
    <row r="480" spans="1:3" s="1" customFormat="1" x14ac:dyDescent="0.2">
      <c r="A480" s="21">
        <f t="shared" si="26"/>
        <v>110</v>
      </c>
      <c r="B480" s="32">
        <v>-10</v>
      </c>
      <c r="C480" s="21">
        <f t="shared" si="25"/>
        <v>10</v>
      </c>
    </row>
    <row r="481" spans="1:8" s="1" customFormat="1" x14ac:dyDescent="0.2">
      <c r="A481" s="21">
        <f t="shared" si="26"/>
        <v>120</v>
      </c>
      <c r="B481" s="21">
        <v>-20</v>
      </c>
      <c r="C481" s="21">
        <f t="shared" si="25"/>
        <v>0</v>
      </c>
    </row>
    <row r="482" spans="1:8" s="1" customFormat="1" x14ac:dyDescent="0.2">
      <c r="A482" s="21">
        <f t="shared" si="26"/>
        <v>130</v>
      </c>
      <c r="B482" s="21">
        <v>-30</v>
      </c>
      <c r="C482" s="21">
        <f t="shared" si="25"/>
        <v>-10</v>
      </c>
    </row>
    <row r="483" spans="1:8" s="1" customFormat="1" x14ac:dyDescent="0.2">
      <c r="A483" s="21">
        <f t="shared" si="26"/>
        <v>140</v>
      </c>
      <c r="B483" s="21">
        <v>-40</v>
      </c>
      <c r="C483" s="21">
        <f t="shared" si="25"/>
        <v>-20</v>
      </c>
    </row>
    <row r="484" spans="1:8" s="1" customFormat="1" x14ac:dyDescent="0.2"/>
    <row r="485" spans="1:8" s="1" customFormat="1" x14ac:dyDescent="0.2">
      <c r="A485" s="1" t="s">
        <v>214</v>
      </c>
    </row>
    <row r="486" spans="1:8" s="1" customFormat="1" x14ac:dyDescent="0.2">
      <c r="A486" s="1" t="s">
        <v>215</v>
      </c>
    </row>
    <row r="487" spans="1:8" s="1" customFormat="1" x14ac:dyDescent="0.2">
      <c r="A487" s="1" t="s">
        <v>216</v>
      </c>
    </row>
    <row r="488" spans="1:8" s="1" customFormat="1" x14ac:dyDescent="0.2">
      <c r="A488" s="1" t="s">
        <v>217</v>
      </c>
    </row>
    <row r="489" spans="1:8" s="1" customFormat="1" x14ac:dyDescent="0.2">
      <c r="A489" s="1" t="s">
        <v>218</v>
      </c>
    </row>
    <row r="490" spans="1:8" s="1" customFormat="1" x14ac:dyDescent="0.2">
      <c r="A490" s="1" t="s">
        <v>219</v>
      </c>
    </row>
    <row r="491" spans="1:8" s="1" customFormat="1" x14ac:dyDescent="0.2">
      <c r="A491" s="1" t="s">
        <v>220</v>
      </c>
    </row>
    <row r="492" spans="1:8" s="1" customFormat="1" x14ac:dyDescent="0.2">
      <c r="A492" s="1" t="s">
        <v>221</v>
      </c>
    </row>
    <row r="493" spans="1:8" s="1" customFormat="1" ht="17" thickBot="1" x14ac:dyDescent="0.25"/>
    <row r="494" spans="1:8" s="1" customFormat="1" ht="17" thickBot="1" x14ac:dyDescent="0.25">
      <c r="A494" s="15" t="s">
        <v>169</v>
      </c>
      <c r="B494" s="16"/>
      <c r="C494" s="16"/>
      <c r="D494" s="16"/>
      <c r="E494" s="16"/>
      <c r="F494" s="16"/>
      <c r="G494" s="16"/>
      <c r="H494" s="17"/>
    </row>
    <row r="495" spans="1:8" s="1" customFormat="1" x14ac:dyDescent="0.2"/>
    <row r="496" spans="1:8" s="1" customFormat="1" x14ac:dyDescent="0.2">
      <c r="A496" s="1" t="s">
        <v>170</v>
      </c>
    </row>
    <row r="497" spans="1:5" s="1" customFormat="1" x14ac:dyDescent="0.2">
      <c r="A497" s="1" t="s">
        <v>171</v>
      </c>
    </row>
    <row r="498" spans="1:5" s="1" customFormat="1" x14ac:dyDescent="0.2">
      <c r="A498" s="1" t="s">
        <v>172</v>
      </c>
    </row>
    <row r="499" spans="1:5" s="1" customFormat="1" x14ac:dyDescent="0.2">
      <c r="A499" s="1" t="s">
        <v>173</v>
      </c>
    </row>
    <row r="500" spans="1:5" s="1" customFormat="1" x14ac:dyDescent="0.2">
      <c r="A500" s="1" t="s">
        <v>174</v>
      </c>
    </row>
    <row r="501" spans="1:5" s="1" customFormat="1" x14ac:dyDescent="0.2">
      <c r="A501" s="1" t="s">
        <v>175</v>
      </c>
    </row>
    <row r="502" spans="1:5" s="1" customFormat="1" x14ac:dyDescent="0.2"/>
    <row r="503" spans="1:5" s="1" customFormat="1" x14ac:dyDescent="0.2">
      <c r="A503" s="4" t="s">
        <v>163</v>
      </c>
    </row>
    <row r="504" spans="1:5" s="1" customFormat="1" x14ac:dyDescent="0.2">
      <c r="A504" s="1" t="s">
        <v>176</v>
      </c>
    </row>
    <row r="505" spans="1:5" s="1" customFormat="1" x14ac:dyDescent="0.2">
      <c r="A505" s="1" t="s">
        <v>177</v>
      </c>
    </row>
    <row r="506" spans="1:5" s="1" customFormat="1" x14ac:dyDescent="0.2">
      <c r="A506" s="1" t="s">
        <v>178</v>
      </c>
    </row>
    <row r="507" spans="1:5" s="1" customFormat="1" x14ac:dyDescent="0.2">
      <c r="A507" s="1" t="s">
        <v>179</v>
      </c>
    </row>
    <row r="508" spans="1:5" s="1" customFormat="1" x14ac:dyDescent="0.2">
      <c r="A508" s="1" t="s">
        <v>180</v>
      </c>
    </row>
    <row r="509" spans="1:5" s="1" customFormat="1" x14ac:dyDescent="0.2"/>
    <row r="510" spans="1:5" s="1" customFormat="1" x14ac:dyDescent="0.2">
      <c r="A510" s="331" t="s">
        <v>222</v>
      </c>
      <c r="B510" s="331"/>
      <c r="C510" s="331"/>
      <c r="D510" s="332" t="s">
        <v>223</v>
      </c>
      <c r="E510" s="332"/>
    </row>
    <row r="511" spans="1:5" s="1" customFormat="1" x14ac:dyDescent="0.2">
      <c r="A511" s="21" t="s">
        <v>71</v>
      </c>
      <c r="B511" s="21" t="s">
        <v>224</v>
      </c>
      <c r="C511" s="21" t="s">
        <v>225</v>
      </c>
      <c r="D511" s="21" t="s">
        <v>226</v>
      </c>
      <c r="E511" s="21" t="s">
        <v>227</v>
      </c>
    </row>
    <row r="512" spans="1:5" s="1" customFormat="1" x14ac:dyDescent="0.2">
      <c r="A512" s="21">
        <v>20</v>
      </c>
      <c r="B512" s="21">
        <v>0</v>
      </c>
      <c r="C512" s="21">
        <f t="shared" ref="C512:C518" si="27">B512-15</f>
        <v>-15</v>
      </c>
      <c r="D512" s="21">
        <f t="shared" ref="D512:E518" si="28">-B512</f>
        <v>0</v>
      </c>
      <c r="E512" s="21">
        <f t="shared" si="28"/>
        <v>15</v>
      </c>
    </row>
    <row r="513" spans="1:5" s="1" customFormat="1" x14ac:dyDescent="0.2">
      <c r="A513" s="21">
        <f t="shared" ref="A513:A518" si="29">A512+10</f>
        <v>30</v>
      </c>
      <c r="B513" s="21">
        <v>0</v>
      </c>
      <c r="C513" s="21">
        <f t="shared" si="27"/>
        <v>-15</v>
      </c>
      <c r="D513" s="21">
        <f t="shared" si="28"/>
        <v>0</v>
      </c>
      <c r="E513" s="21">
        <f t="shared" si="28"/>
        <v>15</v>
      </c>
    </row>
    <row r="514" spans="1:5" s="1" customFormat="1" x14ac:dyDescent="0.2">
      <c r="A514" s="21">
        <f t="shared" si="29"/>
        <v>40</v>
      </c>
      <c r="B514" s="21">
        <v>0</v>
      </c>
      <c r="C514" s="21">
        <f t="shared" si="27"/>
        <v>-15</v>
      </c>
      <c r="D514" s="21">
        <f t="shared" si="28"/>
        <v>0</v>
      </c>
      <c r="E514" s="21">
        <f t="shared" si="28"/>
        <v>15</v>
      </c>
    </row>
    <row r="515" spans="1:5" s="1" customFormat="1" x14ac:dyDescent="0.2">
      <c r="A515" s="21">
        <f t="shared" si="29"/>
        <v>50</v>
      </c>
      <c r="B515" s="21">
        <v>0</v>
      </c>
      <c r="C515" s="21">
        <f t="shared" si="27"/>
        <v>-15</v>
      </c>
      <c r="D515" s="21">
        <f t="shared" si="28"/>
        <v>0</v>
      </c>
      <c r="E515" s="21">
        <f t="shared" si="28"/>
        <v>15</v>
      </c>
    </row>
    <row r="516" spans="1:5" s="1" customFormat="1" x14ac:dyDescent="0.2">
      <c r="A516" s="21">
        <f t="shared" si="29"/>
        <v>60</v>
      </c>
      <c r="B516" s="21">
        <f>A516-50</f>
        <v>10</v>
      </c>
      <c r="C516" s="21">
        <f t="shared" si="27"/>
        <v>-5</v>
      </c>
      <c r="D516" s="21">
        <f t="shared" si="28"/>
        <v>-10</v>
      </c>
      <c r="E516" s="21">
        <f t="shared" si="28"/>
        <v>5</v>
      </c>
    </row>
    <row r="517" spans="1:5" s="1" customFormat="1" x14ac:dyDescent="0.2">
      <c r="A517" s="21">
        <f t="shared" si="29"/>
        <v>70</v>
      </c>
      <c r="B517" s="21">
        <f>A517-50</f>
        <v>20</v>
      </c>
      <c r="C517" s="21">
        <f t="shared" si="27"/>
        <v>5</v>
      </c>
      <c r="D517" s="21">
        <f t="shared" si="28"/>
        <v>-20</v>
      </c>
      <c r="E517" s="21">
        <f t="shared" si="28"/>
        <v>-5</v>
      </c>
    </row>
    <row r="518" spans="1:5" s="1" customFormat="1" x14ac:dyDescent="0.2">
      <c r="A518" s="21">
        <f t="shared" si="29"/>
        <v>80</v>
      </c>
      <c r="B518" s="21">
        <f>A518-50</f>
        <v>30</v>
      </c>
      <c r="C518" s="21">
        <f t="shared" si="27"/>
        <v>15</v>
      </c>
      <c r="D518" s="21">
        <f t="shared" si="28"/>
        <v>-30</v>
      </c>
      <c r="E518" s="21">
        <f t="shared" si="28"/>
        <v>-15</v>
      </c>
    </row>
    <row r="519" spans="1:5" s="1" customFormat="1" x14ac:dyDescent="0.2"/>
    <row r="520" spans="1:5" s="1" customFormat="1" x14ac:dyDescent="0.2"/>
    <row r="521" spans="1:5" s="1" customFormat="1" x14ac:dyDescent="0.2"/>
    <row r="522" spans="1:5" s="1" customFormat="1" x14ac:dyDescent="0.2"/>
    <row r="523" spans="1:5" s="1" customFormat="1" x14ac:dyDescent="0.2"/>
    <row r="524" spans="1:5" s="1" customFormat="1" x14ac:dyDescent="0.2"/>
    <row r="525" spans="1:5" s="1" customFormat="1" x14ac:dyDescent="0.2"/>
    <row r="526" spans="1:5" s="1" customFormat="1" x14ac:dyDescent="0.2"/>
    <row r="527" spans="1:5" s="1" customFormat="1" x14ac:dyDescent="0.2"/>
    <row r="528" spans="1:5" s="1" customFormat="1" x14ac:dyDescent="0.2"/>
    <row r="529" s="1" customFormat="1" x14ac:dyDescent="0.2"/>
    <row r="530" s="1" customFormat="1" x14ac:dyDescent="0.2"/>
    <row r="531" s="1" customFormat="1" x14ac:dyDescent="0.2"/>
    <row r="532" s="1" customFormat="1" x14ac:dyDescent="0.2"/>
    <row r="533" s="1" customFormat="1" x14ac:dyDescent="0.2"/>
    <row r="534" s="1" customFormat="1" x14ac:dyDescent="0.2"/>
    <row r="535" s="1" customFormat="1" x14ac:dyDescent="0.2"/>
    <row r="536" s="1" customFormat="1" x14ac:dyDescent="0.2"/>
    <row r="537" s="1" customFormat="1" x14ac:dyDescent="0.2"/>
    <row r="538" s="1" customFormat="1" x14ac:dyDescent="0.2"/>
    <row r="539" s="1" customFormat="1" x14ac:dyDescent="0.2"/>
    <row r="540" s="1" customFormat="1" x14ac:dyDescent="0.2"/>
    <row r="541" s="1" customFormat="1" x14ac:dyDescent="0.2"/>
    <row r="542" s="1" customFormat="1" x14ac:dyDescent="0.2"/>
    <row r="543" s="1" customFormat="1" x14ac:dyDescent="0.2"/>
    <row r="544" s="1" customFormat="1" x14ac:dyDescent="0.2"/>
    <row r="545" s="1" customFormat="1" x14ac:dyDescent="0.2"/>
    <row r="546" s="1" customFormat="1" x14ac:dyDescent="0.2"/>
    <row r="547" s="1" customFormat="1" x14ac:dyDescent="0.2"/>
    <row r="548" s="1" customFormat="1" x14ac:dyDescent="0.2"/>
    <row r="549" s="1" customFormat="1" x14ac:dyDescent="0.2"/>
    <row r="550" s="1" customFormat="1" x14ac:dyDescent="0.2"/>
    <row r="551" s="1" customFormat="1" x14ac:dyDescent="0.2"/>
    <row r="552" s="1" customFormat="1" x14ac:dyDescent="0.2"/>
    <row r="553" s="1" customFormat="1" x14ac:dyDescent="0.2"/>
    <row r="554" s="1" customFormat="1" x14ac:dyDescent="0.2"/>
    <row r="555" s="1" customFormat="1" x14ac:dyDescent="0.2"/>
    <row r="556" s="1" customFormat="1" x14ac:dyDescent="0.2"/>
    <row r="557" s="1" customFormat="1" x14ac:dyDescent="0.2"/>
    <row r="558" s="1" customFormat="1" x14ac:dyDescent="0.2"/>
    <row r="559" s="1" customFormat="1" x14ac:dyDescent="0.2"/>
    <row r="560" s="1" customFormat="1" x14ac:dyDescent="0.2"/>
    <row r="561" s="1" customFormat="1" x14ac:dyDescent="0.2"/>
    <row r="562" s="1" customFormat="1" x14ac:dyDescent="0.2"/>
    <row r="563" s="1" customFormat="1" x14ac:dyDescent="0.2"/>
    <row r="564" s="1" customFormat="1" x14ac:dyDescent="0.2"/>
    <row r="565" s="1" customFormat="1" x14ac:dyDescent="0.2"/>
    <row r="566" s="1" customFormat="1" x14ac:dyDescent="0.2"/>
    <row r="567" s="1" customFormat="1" x14ac:dyDescent="0.2"/>
    <row r="568" s="1" customFormat="1" x14ac:dyDescent="0.2"/>
    <row r="569" s="1" customFormat="1" x14ac:dyDescent="0.2"/>
    <row r="570" s="1" customFormat="1" x14ac:dyDescent="0.2"/>
    <row r="571" s="1" customFormat="1" x14ac:dyDescent="0.2"/>
    <row r="572" s="1" customFormat="1" x14ac:dyDescent="0.2"/>
  </sheetData>
  <mergeCells count="6">
    <mergeCell ref="A510:C510"/>
    <mergeCell ref="D510:E510"/>
    <mergeCell ref="D24:D34"/>
    <mergeCell ref="H24:H34"/>
    <mergeCell ref="A36:E36"/>
    <mergeCell ref="G36:J36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9968F8-5532-3140-B6C4-B2AE606CB303}">
  <dimension ref="A1:I439"/>
  <sheetViews>
    <sheetView rightToLeft="1" topLeftCell="A158" zoomScale="200" zoomScaleNormal="150" zoomScaleSheetLayoutView="150" workbookViewId="0">
      <selection sqref="A1:XFD1"/>
    </sheetView>
  </sheetViews>
  <sheetFormatPr baseColWidth="10" defaultRowHeight="16" x14ac:dyDescent="0.2"/>
  <cols>
    <col min="1" max="1" width="10.83203125" style="62"/>
    <col min="2" max="2" width="11.83203125" style="1" customWidth="1"/>
    <col min="3" max="3" width="13.33203125" style="1" customWidth="1"/>
    <col min="4" max="4" width="12.33203125" style="1" customWidth="1"/>
    <col min="5" max="5" width="12.6640625" style="1" customWidth="1"/>
    <col min="6" max="7" width="10.83203125" style="1"/>
    <col min="8" max="8" width="23.6640625" style="1" customWidth="1"/>
    <col min="9" max="16384" width="10.83203125" style="1"/>
  </cols>
  <sheetData>
    <row r="1" spans="1:8" x14ac:dyDescent="0.2">
      <c r="A1" s="61" t="s">
        <v>2109</v>
      </c>
      <c r="B1" s="2"/>
      <c r="C1" s="2"/>
      <c r="D1" s="2"/>
      <c r="E1" s="2"/>
      <c r="F1" s="2"/>
      <c r="G1" s="2"/>
      <c r="H1" s="3">
        <v>45623</v>
      </c>
    </row>
    <row r="2" spans="1:8" ht="17" thickBot="1" x14ac:dyDescent="0.25"/>
    <row r="3" spans="1:8" ht="17" thickBot="1" x14ac:dyDescent="0.25">
      <c r="A3" s="151" t="s">
        <v>1043</v>
      </c>
      <c r="B3" s="141"/>
      <c r="C3" s="141"/>
      <c r="D3" s="141"/>
      <c r="E3" s="141"/>
      <c r="F3" s="141"/>
      <c r="G3" s="141"/>
      <c r="H3" s="142"/>
    </row>
    <row r="5" spans="1:8" x14ac:dyDescent="0.2">
      <c r="A5" s="62" t="s">
        <v>1109</v>
      </c>
    </row>
    <row r="6" spans="1:8" x14ac:dyDescent="0.2">
      <c r="A6" s="62" t="s">
        <v>1110</v>
      </c>
    </row>
    <row r="7" spans="1:8" x14ac:dyDescent="0.2">
      <c r="A7" s="62" t="s">
        <v>1044</v>
      </c>
    </row>
    <row r="8" spans="1:8" x14ac:dyDescent="0.2">
      <c r="A8" s="62" t="s">
        <v>1045</v>
      </c>
    </row>
    <row r="9" spans="1:8" x14ac:dyDescent="0.2">
      <c r="A9" s="62" t="s">
        <v>1111</v>
      </c>
    </row>
    <row r="10" spans="1:8" x14ac:dyDescent="0.2">
      <c r="A10" s="62" t="s">
        <v>1112</v>
      </c>
    </row>
    <row r="11" spans="1:8" x14ac:dyDescent="0.2">
      <c r="A11" s="62" t="s">
        <v>1046</v>
      </c>
    </row>
    <row r="12" spans="1:8" x14ac:dyDescent="0.2">
      <c r="A12" s="62" t="s">
        <v>1047</v>
      </c>
    </row>
    <row r="13" spans="1:8" x14ac:dyDescent="0.2">
      <c r="A13" s="62" t="s">
        <v>1048</v>
      </c>
    </row>
    <row r="14" spans="1:8" ht="17" thickBot="1" x14ac:dyDescent="0.25"/>
    <row r="15" spans="1:8" ht="17" thickBot="1" x14ac:dyDescent="0.25">
      <c r="A15" s="151" t="s">
        <v>1049</v>
      </c>
      <c r="B15" s="152"/>
      <c r="C15" s="152"/>
      <c r="D15" s="152"/>
      <c r="E15" s="152"/>
      <c r="F15" s="152"/>
      <c r="G15" s="152"/>
      <c r="H15" s="153"/>
    </row>
    <row r="17" spans="1:7" x14ac:dyDescent="0.2">
      <c r="A17" s="62" t="s">
        <v>1063</v>
      </c>
    </row>
    <row r="18" spans="1:7" x14ac:dyDescent="0.2">
      <c r="A18" s="62" t="s">
        <v>1050</v>
      </c>
    </row>
    <row r="19" spans="1:7" x14ac:dyDescent="0.2">
      <c r="A19" s="62" t="s">
        <v>1051</v>
      </c>
    </row>
    <row r="20" spans="1:7" x14ac:dyDescent="0.2">
      <c r="A20" s="62" t="s">
        <v>1052</v>
      </c>
    </row>
    <row r="21" spans="1:7" x14ac:dyDescent="0.2">
      <c r="A21" s="62" t="s">
        <v>1053</v>
      </c>
    </row>
    <row r="23" spans="1:7" x14ac:dyDescent="0.2">
      <c r="A23" s="62" t="s">
        <v>1067</v>
      </c>
    </row>
    <row r="24" spans="1:7" x14ac:dyDescent="0.2">
      <c r="G24" s="1" t="s">
        <v>2111</v>
      </c>
    </row>
    <row r="25" spans="1:7" ht="17" thickBot="1" x14ac:dyDescent="0.25">
      <c r="A25" s="62" t="s">
        <v>1161</v>
      </c>
    </row>
    <row r="26" spans="1:7" x14ac:dyDescent="0.2">
      <c r="C26" s="283" t="s">
        <v>2112</v>
      </c>
      <c r="D26" s="284" t="s">
        <v>48</v>
      </c>
      <c r="E26" s="283" t="s">
        <v>2112</v>
      </c>
      <c r="F26" s="284" t="s">
        <v>48</v>
      </c>
    </row>
    <row r="27" spans="1:7" x14ac:dyDescent="0.2">
      <c r="C27" s="212" t="s">
        <v>1116</v>
      </c>
      <c r="D27" s="213" t="s">
        <v>1117</v>
      </c>
      <c r="E27" s="212" t="s">
        <v>1118</v>
      </c>
      <c r="F27" s="213" t="s">
        <v>1119</v>
      </c>
    </row>
    <row r="28" spans="1:7" x14ac:dyDescent="0.2">
      <c r="B28" s="21" t="s">
        <v>212</v>
      </c>
      <c r="C28" s="212" t="s">
        <v>213</v>
      </c>
      <c r="D28" s="213" t="s">
        <v>213</v>
      </c>
      <c r="E28" s="212" t="s">
        <v>213</v>
      </c>
      <c r="F28" s="213" t="s">
        <v>213</v>
      </c>
    </row>
    <row r="29" spans="1:7" x14ac:dyDescent="0.2">
      <c r="B29" s="21" t="s">
        <v>1113</v>
      </c>
      <c r="C29" s="212" t="s">
        <v>77</v>
      </c>
      <c r="D29" s="213" t="s">
        <v>77</v>
      </c>
      <c r="E29" s="212" t="s">
        <v>77</v>
      </c>
      <c r="F29" s="213" t="s">
        <v>77</v>
      </c>
    </row>
    <row r="30" spans="1:7" x14ac:dyDescent="0.2">
      <c r="B30" s="75" t="s">
        <v>71</v>
      </c>
      <c r="C30" s="289" t="s">
        <v>2113</v>
      </c>
      <c r="D30" s="290" t="s">
        <v>1114</v>
      </c>
      <c r="E30" s="289" t="s">
        <v>2114</v>
      </c>
      <c r="F30" s="290" t="s">
        <v>1115</v>
      </c>
    </row>
    <row r="31" spans="1:7" x14ac:dyDescent="0.2">
      <c r="B31" s="21">
        <v>50</v>
      </c>
      <c r="C31" s="212">
        <f t="shared" ref="C31:C36" si="0">0-20</f>
        <v>-20</v>
      </c>
      <c r="D31" s="213">
        <f>20</f>
        <v>20</v>
      </c>
      <c r="E31" s="212">
        <f>100-50-20</f>
        <v>30</v>
      </c>
      <c r="F31" s="213">
        <f>-100+50+20</f>
        <v>-30</v>
      </c>
    </row>
    <row r="32" spans="1:7" x14ac:dyDescent="0.2">
      <c r="B32" s="21">
        <v>60</v>
      </c>
      <c r="C32" s="212">
        <f t="shared" si="0"/>
        <v>-20</v>
      </c>
      <c r="D32" s="213">
        <f>20</f>
        <v>20</v>
      </c>
      <c r="E32" s="212">
        <f>100-60-20</f>
        <v>20</v>
      </c>
      <c r="F32" s="213">
        <f>-100+60+20</f>
        <v>-20</v>
      </c>
    </row>
    <row r="33" spans="1:8" x14ac:dyDescent="0.2">
      <c r="B33" s="21">
        <v>70</v>
      </c>
      <c r="C33" s="212">
        <f t="shared" si="0"/>
        <v>-20</v>
      </c>
      <c r="D33" s="213">
        <f>20</f>
        <v>20</v>
      </c>
      <c r="E33" s="212">
        <f>100-70-20</f>
        <v>10</v>
      </c>
      <c r="F33" s="213">
        <f>-100+70+20</f>
        <v>-10</v>
      </c>
    </row>
    <row r="34" spans="1:8" x14ac:dyDescent="0.2">
      <c r="B34" s="21">
        <v>80</v>
      </c>
      <c r="C34" s="212">
        <f t="shared" si="0"/>
        <v>-20</v>
      </c>
      <c r="D34" s="213">
        <f>20</f>
        <v>20</v>
      </c>
      <c r="E34" s="212">
        <f>100-80-20</f>
        <v>0</v>
      </c>
      <c r="F34" s="213">
        <f>-100+80+20</f>
        <v>0</v>
      </c>
    </row>
    <row r="35" spans="1:8" x14ac:dyDescent="0.2">
      <c r="B35" s="21">
        <v>90</v>
      </c>
      <c r="C35" s="212">
        <f t="shared" si="0"/>
        <v>-20</v>
      </c>
      <c r="D35" s="213">
        <f>20</f>
        <v>20</v>
      </c>
      <c r="E35" s="212">
        <f>100-90-20</f>
        <v>-10</v>
      </c>
      <c r="F35" s="213">
        <f>-100+90+20</f>
        <v>10</v>
      </c>
    </row>
    <row r="36" spans="1:8" x14ac:dyDescent="0.2">
      <c r="B36" s="21">
        <v>100</v>
      </c>
      <c r="C36" s="212">
        <f t="shared" si="0"/>
        <v>-20</v>
      </c>
      <c r="D36" s="213">
        <f>20</f>
        <v>20</v>
      </c>
      <c r="E36" s="212">
        <v>-20</v>
      </c>
      <c r="F36" s="213">
        <f>20</f>
        <v>20</v>
      </c>
    </row>
    <row r="37" spans="1:8" x14ac:dyDescent="0.2">
      <c r="B37" s="21">
        <v>110</v>
      </c>
      <c r="C37" s="212">
        <f>110-100-20</f>
        <v>-10</v>
      </c>
      <c r="D37" s="213">
        <f>100-110+20</f>
        <v>10</v>
      </c>
      <c r="E37" s="212">
        <v>-20</v>
      </c>
      <c r="F37" s="213">
        <f>20</f>
        <v>20</v>
      </c>
    </row>
    <row r="38" spans="1:8" x14ac:dyDescent="0.2">
      <c r="B38" s="21">
        <v>120</v>
      </c>
      <c r="C38" s="212">
        <f>120-100-20</f>
        <v>0</v>
      </c>
      <c r="D38" s="213">
        <f>100-120+20</f>
        <v>0</v>
      </c>
      <c r="E38" s="212">
        <v>-20</v>
      </c>
      <c r="F38" s="213">
        <f>20</f>
        <v>20</v>
      </c>
    </row>
    <row r="39" spans="1:8" x14ac:dyDescent="0.2">
      <c r="B39" s="21">
        <v>130</v>
      </c>
      <c r="C39" s="212">
        <f>130-100-20</f>
        <v>10</v>
      </c>
      <c r="D39" s="213">
        <f>100-130+20</f>
        <v>-10</v>
      </c>
      <c r="E39" s="212">
        <v>-20</v>
      </c>
      <c r="F39" s="213">
        <f>20</f>
        <v>20</v>
      </c>
    </row>
    <row r="40" spans="1:8" x14ac:dyDescent="0.2">
      <c r="B40" s="21">
        <v>140</v>
      </c>
      <c r="C40" s="212">
        <f>140-100-20</f>
        <v>20</v>
      </c>
      <c r="D40" s="213">
        <f>100-140+20</f>
        <v>-20</v>
      </c>
      <c r="E40" s="212">
        <v>-20</v>
      </c>
      <c r="F40" s="213">
        <f>20</f>
        <v>20</v>
      </c>
    </row>
    <row r="41" spans="1:8" ht="17" thickBot="1" x14ac:dyDescent="0.25">
      <c r="B41" s="21">
        <v>150</v>
      </c>
      <c r="C41" s="291">
        <f>150-100-20</f>
        <v>30</v>
      </c>
      <c r="D41" s="292">
        <f>100-150+20</f>
        <v>-30</v>
      </c>
      <c r="E41" s="291">
        <v>-20</v>
      </c>
      <c r="F41" s="292">
        <f>20</f>
        <v>20</v>
      </c>
    </row>
    <row r="43" spans="1:8" x14ac:dyDescent="0.2">
      <c r="A43" s="160" t="s">
        <v>1159</v>
      </c>
      <c r="H43" s="4" t="s">
        <v>1160</v>
      </c>
    </row>
    <row r="44" spans="1:8" x14ac:dyDescent="0.2">
      <c r="A44" s="62" t="s">
        <v>1120</v>
      </c>
      <c r="H44" s="1" t="s">
        <v>1129</v>
      </c>
    </row>
    <row r="45" spans="1:8" x14ac:dyDescent="0.2">
      <c r="A45" s="62" t="s">
        <v>1121</v>
      </c>
      <c r="H45" s="1" t="s">
        <v>1121</v>
      </c>
    </row>
    <row r="46" spans="1:8" x14ac:dyDescent="0.2">
      <c r="B46" s="1" t="s">
        <v>1122</v>
      </c>
      <c r="H46" s="1" t="s">
        <v>1130</v>
      </c>
    </row>
    <row r="47" spans="1:8" x14ac:dyDescent="0.2">
      <c r="B47" s="1" t="s">
        <v>1123</v>
      </c>
      <c r="H47" s="1" t="s">
        <v>1131</v>
      </c>
    </row>
    <row r="48" spans="1:8" x14ac:dyDescent="0.2">
      <c r="B48" s="1" t="s">
        <v>1124</v>
      </c>
      <c r="H48" s="1" t="s">
        <v>1132</v>
      </c>
    </row>
    <row r="49" spans="1:8" x14ac:dyDescent="0.2">
      <c r="B49" s="1" t="s">
        <v>1125</v>
      </c>
      <c r="H49" s="1" t="s">
        <v>1133</v>
      </c>
    </row>
    <row r="50" spans="1:8" x14ac:dyDescent="0.2">
      <c r="B50" s="1" t="s">
        <v>1126</v>
      </c>
      <c r="H50" s="1" t="s">
        <v>1134</v>
      </c>
    </row>
    <row r="51" spans="1:8" x14ac:dyDescent="0.2">
      <c r="B51" s="1" t="s">
        <v>1127</v>
      </c>
      <c r="H51" s="1" t="s">
        <v>1135</v>
      </c>
    </row>
    <row r="52" spans="1:8" x14ac:dyDescent="0.2">
      <c r="B52" s="1" t="s">
        <v>1128</v>
      </c>
    </row>
    <row r="53" spans="1:8" ht="17" thickBot="1" x14ac:dyDescent="0.25"/>
    <row r="54" spans="1:8" ht="17" thickBot="1" x14ac:dyDescent="0.25">
      <c r="A54" s="151" t="s">
        <v>1054</v>
      </c>
      <c r="B54" s="152"/>
      <c r="C54" s="152"/>
      <c r="D54" s="152"/>
      <c r="E54" s="152"/>
      <c r="F54" s="152"/>
      <c r="G54" s="152"/>
      <c r="H54" s="153"/>
    </row>
    <row r="55" spans="1:8" x14ac:dyDescent="0.2">
      <c r="B55" s="62"/>
      <c r="C55" s="62"/>
      <c r="D55" s="62"/>
      <c r="E55" s="62"/>
      <c r="F55" s="62"/>
      <c r="G55" s="62"/>
      <c r="H55" s="62"/>
    </row>
    <row r="56" spans="1:8" x14ac:dyDescent="0.2">
      <c r="A56" s="62" t="s">
        <v>1055</v>
      </c>
      <c r="B56" s="62"/>
      <c r="C56" s="62"/>
      <c r="D56" s="62"/>
      <c r="E56" s="62"/>
      <c r="F56" s="62"/>
      <c r="G56" s="62"/>
      <c r="H56" s="62"/>
    </row>
    <row r="57" spans="1:8" x14ac:dyDescent="0.2">
      <c r="A57" s="62" t="s">
        <v>1056</v>
      </c>
      <c r="B57" s="62"/>
      <c r="C57" s="62"/>
      <c r="D57" s="62"/>
      <c r="E57" s="62"/>
      <c r="F57" s="62"/>
      <c r="G57" s="62"/>
      <c r="H57" s="62"/>
    </row>
    <row r="58" spans="1:8" x14ac:dyDescent="0.2">
      <c r="A58" s="62" t="s">
        <v>1057</v>
      </c>
      <c r="B58" s="62"/>
      <c r="C58" s="62"/>
      <c r="D58" s="62"/>
      <c r="E58" s="62"/>
      <c r="F58" s="62"/>
      <c r="G58" s="62"/>
      <c r="H58" s="62"/>
    </row>
    <row r="59" spans="1:8" x14ac:dyDescent="0.2">
      <c r="B59" s="62"/>
      <c r="C59" s="62"/>
      <c r="D59" s="62"/>
      <c r="E59" s="62"/>
      <c r="F59" s="62"/>
      <c r="G59" s="62"/>
      <c r="H59" s="62"/>
    </row>
    <row r="60" spans="1:8" x14ac:dyDescent="0.2">
      <c r="A60" s="62" t="s">
        <v>78</v>
      </c>
      <c r="B60" s="62"/>
      <c r="C60" s="62"/>
      <c r="D60" s="62"/>
      <c r="E60" s="62"/>
      <c r="F60" s="62"/>
      <c r="G60" s="62"/>
      <c r="H60" s="62"/>
    </row>
    <row r="61" spans="1:8" x14ac:dyDescent="0.2">
      <c r="B61" s="62"/>
      <c r="C61" s="62"/>
      <c r="D61" s="62"/>
      <c r="E61" s="62"/>
      <c r="F61" s="62"/>
      <c r="G61" s="62"/>
      <c r="H61" s="62"/>
    </row>
    <row r="62" spans="1:8" x14ac:dyDescent="0.2">
      <c r="A62" s="62" t="s">
        <v>1136</v>
      </c>
      <c r="B62" s="62"/>
      <c r="C62" s="62"/>
      <c r="D62" s="62"/>
      <c r="E62" s="62"/>
      <c r="F62" s="62"/>
      <c r="G62" s="62"/>
      <c r="H62" s="62"/>
    </row>
    <row r="63" spans="1:8" x14ac:dyDescent="0.2">
      <c r="A63" s="62" t="s">
        <v>1137</v>
      </c>
      <c r="B63" s="62"/>
      <c r="C63" s="62"/>
      <c r="D63" s="62"/>
      <c r="E63" s="62"/>
      <c r="F63" s="62"/>
      <c r="G63" s="62"/>
      <c r="H63" s="62"/>
    </row>
    <row r="64" spans="1:8" x14ac:dyDescent="0.2">
      <c r="A64" s="62" t="s">
        <v>1138</v>
      </c>
      <c r="B64" s="62"/>
      <c r="C64" s="62"/>
      <c r="D64" s="62"/>
      <c r="E64" s="62"/>
      <c r="F64" s="62"/>
      <c r="G64" s="62"/>
      <c r="H64" s="62"/>
    </row>
    <row r="65" spans="1:8" x14ac:dyDescent="0.2">
      <c r="A65" s="62" t="s">
        <v>1139</v>
      </c>
      <c r="B65" s="62"/>
      <c r="C65" s="62"/>
      <c r="D65" s="62"/>
      <c r="E65" s="62"/>
      <c r="F65" s="62"/>
      <c r="G65" s="62"/>
      <c r="H65" s="62"/>
    </row>
    <row r="66" spans="1:8" x14ac:dyDescent="0.2">
      <c r="A66" s="156" t="s">
        <v>1140</v>
      </c>
      <c r="B66" s="1" t="s">
        <v>1142</v>
      </c>
    </row>
    <row r="67" spans="1:8" x14ac:dyDescent="0.2">
      <c r="B67" s="1" t="s">
        <v>1141</v>
      </c>
    </row>
    <row r="68" spans="1:8" x14ac:dyDescent="0.2">
      <c r="A68" s="160" t="s">
        <v>2115</v>
      </c>
    </row>
    <row r="71" spans="1:8" ht="17" thickBot="1" x14ac:dyDescent="0.25"/>
    <row r="72" spans="1:8" ht="17" thickBot="1" x14ac:dyDescent="0.25">
      <c r="A72" s="15" t="s">
        <v>1058</v>
      </c>
      <c r="B72" s="16"/>
      <c r="C72" s="16"/>
      <c r="D72" s="16"/>
      <c r="E72" s="16"/>
      <c r="F72" s="16"/>
      <c r="G72" s="16"/>
      <c r="H72" s="17"/>
    </row>
    <row r="73" spans="1:8" x14ac:dyDescent="0.2">
      <c r="A73" s="1" t="s">
        <v>248</v>
      </c>
    </row>
    <row r="74" spans="1:8" x14ac:dyDescent="0.2">
      <c r="A74" s="4" t="s">
        <v>249</v>
      </c>
    </row>
    <row r="75" spans="1:8" x14ac:dyDescent="0.2">
      <c r="A75" s="1" t="s">
        <v>250</v>
      </c>
    </row>
    <row r="76" spans="1:8" x14ac:dyDescent="0.2">
      <c r="A76" s="1" t="s">
        <v>251</v>
      </c>
    </row>
    <row r="77" spans="1:8" x14ac:dyDescent="0.2">
      <c r="A77" s="1" t="s">
        <v>252</v>
      </c>
    </row>
    <row r="78" spans="1:8" x14ac:dyDescent="0.2">
      <c r="A78" s="1" t="s">
        <v>253</v>
      </c>
    </row>
    <row r="79" spans="1:8" ht="17" thickBot="1" x14ac:dyDescent="0.25">
      <c r="A79" s="1"/>
    </row>
    <row r="80" spans="1:8" s="25" customFormat="1" x14ac:dyDescent="0.2">
      <c r="A80" s="22" t="s">
        <v>254</v>
      </c>
      <c r="B80" s="23"/>
      <c r="C80" s="23"/>
      <c r="D80" s="23"/>
      <c r="E80" s="23"/>
      <c r="F80" s="23"/>
      <c r="G80" s="23"/>
      <c r="H80" s="24"/>
    </row>
    <row r="81" spans="1:8" s="25" customFormat="1" x14ac:dyDescent="0.2">
      <c r="A81" s="26" t="s">
        <v>1143</v>
      </c>
      <c r="H81" s="27"/>
    </row>
    <row r="82" spans="1:8" s="25" customFormat="1" x14ac:dyDescent="0.2">
      <c r="A82" s="26" t="s">
        <v>1144</v>
      </c>
      <c r="H82" s="27"/>
    </row>
    <row r="83" spans="1:8" s="25" customFormat="1" x14ac:dyDescent="0.2">
      <c r="A83" s="159" t="s">
        <v>263</v>
      </c>
      <c r="H83" s="27"/>
    </row>
    <row r="84" spans="1:8" s="25" customFormat="1" x14ac:dyDescent="0.2">
      <c r="A84" s="26"/>
      <c r="H84" s="27"/>
    </row>
    <row r="85" spans="1:8" s="25" customFormat="1" x14ac:dyDescent="0.2">
      <c r="A85" s="26" t="s">
        <v>1145</v>
      </c>
      <c r="H85" s="27"/>
    </row>
    <row r="86" spans="1:8" s="25" customFormat="1" ht="17" customHeight="1" thickBot="1" x14ac:dyDescent="0.25">
      <c r="A86" s="28" t="s">
        <v>1146</v>
      </c>
      <c r="B86" s="29"/>
      <c r="C86" s="29"/>
      <c r="D86" s="29"/>
      <c r="E86" s="29"/>
      <c r="F86" s="29"/>
      <c r="G86" s="29"/>
      <c r="H86" s="30"/>
    </row>
    <row r="88" spans="1:8" x14ac:dyDescent="0.2">
      <c r="A88" s="160" t="s">
        <v>1147</v>
      </c>
    </row>
    <row r="89" spans="1:8" x14ac:dyDescent="0.2">
      <c r="A89" s="160" t="s">
        <v>1148</v>
      </c>
    </row>
    <row r="91" spans="1:8" x14ac:dyDescent="0.2">
      <c r="A91" s="294" t="s">
        <v>2116</v>
      </c>
      <c r="B91" s="293"/>
      <c r="C91" s="293"/>
      <c r="D91" s="293"/>
      <c r="E91" s="293"/>
      <c r="F91" s="293"/>
      <c r="G91" s="293"/>
      <c r="H91" s="293"/>
    </row>
    <row r="92" spans="1:8" x14ac:dyDescent="0.2">
      <c r="A92" s="62" t="s">
        <v>2117</v>
      </c>
    </row>
    <row r="93" spans="1:8" x14ac:dyDescent="0.2">
      <c r="A93" s="62" t="s">
        <v>2118</v>
      </c>
      <c r="F93" s="1" t="s">
        <v>2122</v>
      </c>
    </row>
    <row r="95" spans="1:8" x14ac:dyDescent="0.2">
      <c r="B95" s="21" t="s">
        <v>2124</v>
      </c>
      <c r="C95" s="21" t="s">
        <v>2125</v>
      </c>
      <c r="D95" s="21" t="s">
        <v>2126</v>
      </c>
    </row>
    <row r="96" spans="1:8" x14ac:dyDescent="0.2">
      <c r="A96" s="156" t="s">
        <v>1191</v>
      </c>
      <c r="B96" s="21" t="s">
        <v>262</v>
      </c>
      <c r="C96" s="21" t="s">
        <v>262</v>
      </c>
      <c r="D96" s="21" t="s">
        <v>2119</v>
      </c>
      <c r="F96" s="1" t="s">
        <v>2127</v>
      </c>
    </row>
    <row r="97" spans="1:6" x14ac:dyDescent="0.2">
      <c r="A97" s="156" t="s">
        <v>2121</v>
      </c>
      <c r="B97" s="21" t="s">
        <v>2123</v>
      </c>
      <c r="C97" s="21" t="s">
        <v>2123</v>
      </c>
      <c r="D97" s="21" t="s">
        <v>2120</v>
      </c>
      <c r="F97" s="1" t="s">
        <v>2128</v>
      </c>
    </row>
    <row r="98" spans="1:6" x14ac:dyDescent="0.2">
      <c r="A98" s="157" t="s">
        <v>71</v>
      </c>
      <c r="B98" s="75" t="s">
        <v>371</v>
      </c>
      <c r="C98" s="75" t="s">
        <v>369</v>
      </c>
      <c r="D98" s="75" t="s">
        <v>941</v>
      </c>
      <c r="F98" s="1" t="s">
        <v>2129</v>
      </c>
    </row>
    <row r="99" spans="1:6" x14ac:dyDescent="0.2">
      <c r="A99" s="156">
        <v>0</v>
      </c>
      <c r="B99" s="21">
        <f>-50+0+5</f>
        <v>-45</v>
      </c>
      <c r="C99" s="21">
        <f>10</f>
        <v>10</v>
      </c>
      <c r="D99" s="21">
        <f t="shared" ref="D99:D109" si="1">SUM(B99:C99)</f>
        <v>-35</v>
      </c>
      <c r="F99" s="1" t="s">
        <v>2130</v>
      </c>
    </row>
    <row r="100" spans="1:6" x14ac:dyDescent="0.2">
      <c r="A100" s="156">
        <v>10</v>
      </c>
      <c r="B100" s="21">
        <f>-50+10+5</f>
        <v>-35</v>
      </c>
      <c r="C100" s="21">
        <f>10</f>
        <v>10</v>
      </c>
      <c r="D100" s="21">
        <f t="shared" si="1"/>
        <v>-25</v>
      </c>
    </row>
    <row r="101" spans="1:6" x14ac:dyDescent="0.2">
      <c r="A101" s="156">
        <v>20</v>
      </c>
      <c r="B101" s="21">
        <f>-50+20+5</f>
        <v>-25</v>
      </c>
      <c r="C101" s="21">
        <v>10</v>
      </c>
      <c r="D101" s="21">
        <f t="shared" si="1"/>
        <v>-15</v>
      </c>
    </row>
    <row r="102" spans="1:6" x14ac:dyDescent="0.2">
      <c r="A102" s="156">
        <v>30</v>
      </c>
      <c r="B102" s="21">
        <f>-50+30+5</f>
        <v>-15</v>
      </c>
      <c r="C102" s="21">
        <v>10</v>
      </c>
      <c r="D102" s="21">
        <f t="shared" si="1"/>
        <v>-5</v>
      </c>
    </row>
    <row r="103" spans="1:6" x14ac:dyDescent="0.2">
      <c r="A103" s="156">
        <v>40</v>
      </c>
      <c r="B103" s="21">
        <f>-50+40+5</f>
        <v>-5</v>
      </c>
      <c r="C103" s="21">
        <v>10</v>
      </c>
      <c r="D103" s="21">
        <f t="shared" si="1"/>
        <v>5</v>
      </c>
    </row>
    <row r="104" spans="1:6" x14ac:dyDescent="0.2">
      <c r="A104" s="295">
        <v>50</v>
      </c>
      <c r="B104" s="60">
        <v>5</v>
      </c>
      <c r="C104" s="60">
        <v>10</v>
      </c>
      <c r="D104" s="60">
        <f t="shared" si="1"/>
        <v>15</v>
      </c>
    </row>
    <row r="105" spans="1:6" x14ac:dyDescent="0.2">
      <c r="A105" s="156">
        <v>60</v>
      </c>
      <c r="B105" s="21">
        <v>5</v>
      </c>
      <c r="C105" s="21">
        <f>50-60+10</f>
        <v>0</v>
      </c>
      <c r="D105" s="21">
        <f t="shared" si="1"/>
        <v>5</v>
      </c>
    </row>
    <row r="106" spans="1:6" x14ac:dyDescent="0.2">
      <c r="A106" s="156">
        <v>70</v>
      </c>
      <c r="B106" s="21">
        <v>5</v>
      </c>
      <c r="C106" s="21">
        <f>50-70+10</f>
        <v>-10</v>
      </c>
      <c r="D106" s="21">
        <f t="shared" si="1"/>
        <v>-5</v>
      </c>
    </row>
    <row r="107" spans="1:6" x14ac:dyDescent="0.2">
      <c r="A107" s="156">
        <v>80</v>
      </c>
      <c r="B107" s="21">
        <v>5</v>
      </c>
      <c r="C107" s="21">
        <f>50-80+10</f>
        <v>-20</v>
      </c>
      <c r="D107" s="21">
        <f t="shared" si="1"/>
        <v>-15</v>
      </c>
    </row>
    <row r="108" spans="1:6" x14ac:dyDescent="0.2">
      <c r="A108" s="156">
        <v>90</v>
      </c>
      <c r="B108" s="21">
        <v>5</v>
      </c>
      <c r="C108" s="21">
        <f>50-90+10</f>
        <v>-30</v>
      </c>
      <c r="D108" s="21">
        <f t="shared" si="1"/>
        <v>-25</v>
      </c>
    </row>
    <row r="109" spans="1:6" x14ac:dyDescent="0.2">
      <c r="A109" s="156">
        <v>100</v>
      </c>
      <c r="B109" s="21">
        <v>5</v>
      </c>
      <c r="C109" s="21">
        <f>50-100+10</f>
        <v>-40</v>
      </c>
      <c r="D109" s="21">
        <f t="shared" si="1"/>
        <v>-35</v>
      </c>
    </row>
    <row r="113" spans="1:8" ht="17" thickBot="1" x14ac:dyDescent="0.25"/>
    <row r="114" spans="1:8" ht="17" thickBot="1" x14ac:dyDescent="0.25">
      <c r="A114" s="161" t="s">
        <v>1149</v>
      </c>
      <c r="B114" s="162"/>
      <c r="C114" s="162"/>
      <c r="D114" s="162"/>
      <c r="E114" s="162"/>
      <c r="F114" s="162"/>
      <c r="G114" s="162"/>
      <c r="H114" s="163"/>
    </row>
    <row r="116" spans="1:8" x14ac:dyDescent="0.2">
      <c r="A116" s="62" t="s">
        <v>1150</v>
      </c>
    </row>
    <row r="117" spans="1:8" x14ac:dyDescent="0.2">
      <c r="A117" s="62" t="s">
        <v>1151</v>
      </c>
    </row>
    <row r="118" spans="1:8" x14ac:dyDescent="0.2">
      <c r="A118" s="62" t="s">
        <v>1156</v>
      </c>
    </row>
    <row r="119" spans="1:8" x14ac:dyDescent="0.2">
      <c r="A119" s="62" t="s">
        <v>1152</v>
      </c>
    </row>
    <row r="120" spans="1:8" x14ac:dyDescent="0.2">
      <c r="A120" s="62" t="s">
        <v>1153</v>
      </c>
    </row>
    <row r="121" spans="1:8" x14ac:dyDescent="0.2">
      <c r="A121" s="62" t="s">
        <v>1154</v>
      </c>
    </row>
    <row r="122" spans="1:8" x14ac:dyDescent="0.2">
      <c r="A122" s="62" t="s">
        <v>1155</v>
      </c>
    </row>
    <row r="126" spans="1:8" ht="17" thickBot="1" x14ac:dyDescent="0.25">
      <c r="A126" s="1"/>
    </row>
    <row r="127" spans="1:8" ht="17" thickBot="1" x14ac:dyDescent="0.25">
      <c r="A127" s="140" t="s">
        <v>2132</v>
      </c>
      <c r="B127" s="141"/>
      <c r="C127" s="141"/>
      <c r="D127" s="141"/>
      <c r="E127" s="141"/>
      <c r="F127" s="141"/>
      <c r="G127" s="141"/>
      <c r="H127" s="142"/>
    </row>
    <row r="128" spans="1:8" x14ac:dyDescent="0.2">
      <c r="A128" s="1"/>
    </row>
    <row r="129" spans="1:8" x14ac:dyDescent="0.2">
      <c r="A129" s="1" t="s">
        <v>975</v>
      </c>
    </row>
    <row r="130" spans="1:8" x14ac:dyDescent="0.2">
      <c r="A130" s="1" t="s">
        <v>976</v>
      </c>
    </row>
    <row r="131" spans="1:8" x14ac:dyDescent="0.2">
      <c r="A131" s="1" t="s">
        <v>977</v>
      </c>
    </row>
    <row r="132" spans="1:8" x14ac:dyDescent="0.2">
      <c r="A132" s="1"/>
    </row>
    <row r="133" spans="1:8" x14ac:dyDescent="0.2">
      <c r="A133" s="1" t="s">
        <v>978</v>
      </c>
    </row>
    <row r="134" spans="1:8" x14ac:dyDescent="0.2">
      <c r="A134" s="1" t="s">
        <v>979</v>
      </c>
    </row>
    <row r="135" spans="1:8" x14ac:dyDescent="0.2">
      <c r="A135" s="1" t="s">
        <v>980</v>
      </c>
    </row>
    <row r="136" spans="1:8" x14ac:dyDescent="0.2">
      <c r="A136" s="1" t="s">
        <v>981</v>
      </c>
    </row>
    <row r="137" spans="1:8" x14ac:dyDescent="0.2">
      <c r="A137" s="1"/>
    </row>
    <row r="138" spans="1:8" x14ac:dyDescent="0.2">
      <c r="A138" s="4" t="s">
        <v>944</v>
      </c>
      <c r="B138" s="4"/>
      <c r="C138" s="4"/>
      <c r="D138" s="4"/>
      <c r="E138" s="4"/>
      <c r="F138" s="4"/>
      <c r="G138" s="4"/>
      <c r="H138" s="4"/>
    </row>
    <row r="139" spans="1:8" x14ac:dyDescent="0.2">
      <c r="A139" s="1" t="s">
        <v>982</v>
      </c>
    </row>
    <row r="140" spans="1:8" x14ac:dyDescent="0.2">
      <c r="A140" s="1" t="s">
        <v>983</v>
      </c>
    </row>
    <row r="141" spans="1:8" x14ac:dyDescent="0.2">
      <c r="A141" s="1" t="s">
        <v>984</v>
      </c>
    </row>
    <row r="142" spans="1:8" x14ac:dyDescent="0.2">
      <c r="A142" s="1"/>
    </row>
    <row r="143" spans="1:8" x14ac:dyDescent="0.2">
      <c r="A143" s="1"/>
    </row>
    <row r="144" spans="1:8" x14ac:dyDescent="0.2">
      <c r="A144" s="1" t="s">
        <v>985</v>
      </c>
      <c r="F144" s="1" t="s">
        <v>986</v>
      </c>
    </row>
    <row r="145" spans="1:9" x14ac:dyDescent="0.2">
      <c r="A145" s="1"/>
      <c r="B145" s="1" t="s">
        <v>987</v>
      </c>
      <c r="G145" s="1" t="s">
        <v>988</v>
      </c>
    </row>
    <row r="146" spans="1:9" x14ac:dyDescent="0.2">
      <c r="A146" s="21" t="s">
        <v>212</v>
      </c>
      <c r="B146" s="21" t="s">
        <v>72</v>
      </c>
      <c r="F146" s="75" t="s">
        <v>212</v>
      </c>
      <c r="G146" s="75" t="s">
        <v>72</v>
      </c>
      <c r="I146" s="1" t="s">
        <v>323</v>
      </c>
    </row>
    <row r="147" spans="1:9" x14ac:dyDescent="0.2">
      <c r="A147" s="75" t="s">
        <v>71</v>
      </c>
      <c r="B147" s="75" t="s">
        <v>239</v>
      </c>
      <c r="C147" s="1" t="s">
        <v>1001</v>
      </c>
      <c r="F147" s="21" t="s">
        <v>71</v>
      </c>
      <c r="G147" s="21" t="s">
        <v>239</v>
      </c>
      <c r="I147" s="1" t="s">
        <v>989</v>
      </c>
    </row>
    <row r="148" spans="1:9" x14ac:dyDescent="0.2">
      <c r="A148" s="21">
        <v>40</v>
      </c>
      <c r="B148" s="21">
        <f>100-A148</f>
        <v>60</v>
      </c>
      <c r="C148" s="1" t="s">
        <v>1002</v>
      </c>
      <c r="F148" s="21">
        <v>40</v>
      </c>
      <c r="G148" s="21">
        <v>0</v>
      </c>
      <c r="I148" s="1" t="s">
        <v>990</v>
      </c>
    </row>
    <row r="149" spans="1:9" x14ac:dyDescent="0.2">
      <c r="A149" s="21">
        <f t="shared" ref="A149:A158" si="2">A148+10</f>
        <v>50</v>
      </c>
      <c r="B149" s="21">
        <f>100-A149</f>
        <v>50</v>
      </c>
      <c r="C149" s="1" t="s">
        <v>1003</v>
      </c>
      <c r="F149" s="21">
        <f t="shared" ref="F149:F158" si="3">F148+10</f>
        <v>50</v>
      </c>
      <c r="G149" s="21">
        <v>0</v>
      </c>
      <c r="I149" s="1" t="s">
        <v>991</v>
      </c>
    </row>
    <row r="150" spans="1:9" x14ac:dyDescent="0.2">
      <c r="A150" s="21">
        <f t="shared" si="2"/>
        <v>60</v>
      </c>
      <c r="B150" s="21">
        <f>100-60</f>
        <v>40</v>
      </c>
      <c r="D150" s="1" t="s">
        <v>198</v>
      </c>
      <c r="F150" s="21">
        <f t="shared" si="3"/>
        <v>60</v>
      </c>
      <c r="G150" s="21">
        <v>0</v>
      </c>
      <c r="I150" s="1" t="s">
        <v>992</v>
      </c>
    </row>
    <row r="151" spans="1:9" x14ac:dyDescent="0.2">
      <c r="A151" s="21">
        <f t="shared" si="2"/>
        <v>70</v>
      </c>
      <c r="B151" s="21">
        <f>100-70</f>
        <v>30</v>
      </c>
      <c r="C151" s="1" t="s">
        <v>1004</v>
      </c>
      <c r="F151" s="21">
        <f t="shared" si="3"/>
        <v>70</v>
      </c>
      <c r="G151" s="21">
        <v>0</v>
      </c>
      <c r="I151" s="1" t="s">
        <v>993</v>
      </c>
    </row>
    <row r="152" spans="1:9" x14ac:dyDescent="0.2">
      <c r="A152" s="21">
        <f t="shared" si="2"/>
        <v>80</v>
      </c>
      <c r="B152" s="21">
        <f>100-80</f>
        <v>20</v>
      </c>
      <c r="C152" s="1" t="s">
        <v>1005</v>
      </c>
      <c r="F152" s="21">
        <f t="shared" si="3"/>
        <v>80</v>
      </c>
      <c r="G152" s="21">
        <v>0</v>
      </c>
      <c r="I152" s="1" t="s">
        <v>994</v>
      </c>
    </row>
    <row r="153" spans="1:9" x14ac:dyDescent="0.2">
      <c r="A153" s="21">
        <f t="shared" si="2"/>
        <v>90</v>
      </c>
      <c r="B153" s="21">
        <f>100-90</f>
        <v>10</v>
      </c>
      <c r="C153" s="1" t="s">
        <v>1006</v>
      </c>
      <c r="F153" s="21">
        <f t="shared" si="3"/>
        <v>90</v>
      </c>
      <c r="G153" s="21">
        <v>0</v>
      </c>
      <c r="I153" s="1" t="s">
        <v>995</v>
      </c>
    </row>
    <row r="154" spans="1:9" x14ac:dyDescent="0.2">
      <c r="A154" s="21">
        <f t="shared" si="2"/>
        <v>100</v>
      </c>
      <c r="B154" s="21">
        <v>0</v>
      </c>
      <c r="C154" s="1" t="s">
        <v>1007</v>
      </c>
      <c r="F154" s="21">
        <f t="shared" si="3"/>
        <v>100</v>
      </c>
      <c r="G154" s="21">
        <v>0</v>
      </c>
      <c r="I154" s="1" t="s">
        <v>996</v>
      </c>
    </row>
    <row r="155" spans="1:9" x14ac:dyDescent="0.2">
      <c r="A155" s="21">
        <f t="shared" si="2"/>
        <v>110</v>
      </c>
      <c r="B155" s="21">
        <v>0</v>
      </c>
      <c r="F155" s="21">
        <f t="shared" si="3"/>
        <v>110</v>
      </c>
      <c r="G155" s="21">
        <v>10</v>
      </c>
      <c r="I155" s="1" t="s">
        <v>997</v>
      </c>
    </row>
    <row r="156" spans="1:9" x14ac:dyDescent="0.2">
      <c r="A156" s="21">
        <f t="shared" si="2"/>
        <v>120</v>
      </c>
      <c r="B156" s="21">
        <v>0</v>
      </c>
      <c r="F156" s="21">
        <f t="shared" si="3"/>
        <v>120</v>
      </c>
      <c r="G156" s="21">
        <v>20</v>
      </c>
      <c r="I156" s="1" t="s">
        <v>998</v>
      </c>
    </row>
    <row r="157" spans="1:9" x14ac:dyDescent="0.2">
      <c r="A157" s="21">
        <f t="shared" si="2"/>
        <v>130</v>
      </c>
      <c r="B157" s="21">
        <v>0</v>
      </c>
      <c r="F157" s="21">
        <f t="shared" si="3"/>
        <v>130</v>
      </c>
      <c r="G157" s="21">
        <v>30</v>
      </c>
      <c r="I157" s="1" t="s">
        <v>999</v>
      </c>
    </row>
    <row r="158" spans="1:9" x14ac:dyDescent="0.2">
      <c r="A158" s="21">
        <f t="shared" si="2"/>
        <v>140</v>
      </c>
      <c r="B158" s="21">
        <v>0</v>
      </c>
      <c r="F158" s="21">
        <f t="shared" si="3"/>
        <v>140</v>
      </c>
      <c r="G158" s="21">
        <v>40</v>
      </c>
      <c r="I158" s="1" t="s">
        <v>1000</v>
      </c>
    </row>
    <row r="159" spans="1:9" ht="17" thickBot="1" x14ac:dyDescent="0.25">
      <c r="A159" s="1"/>
    </row>
    <row r="160" spans="1:9" ht="17" thickBot="1" x14ac:dyDescent="0.25">
      <c r="A160" s="140" t="s">
        <v>2133</v>
      </c>
      <c r="B160" s="141"/>
      <c r="C160" s="141"/>
      <c r="D160" s="141"/>
      <c r="E160" s="141"/>
      <c r="F160" s="141"/>
      <c r="G160" s="141"/>
      <c r="H160" s="142"/>
    </row>
    <row r="161" spans="1:6" x14ac:dyDescent="0.2">
      <c r="A161" s="1" t="s">
        <v>1008</v>
      </c>
    </row>
    <row r="162" spans="1:6" x14ac:dyDescent="0.2">
      <c r="A162" s="1" t="s">
        <v>1011</v>
      </c>
    </row>
    <row r="163" spans="1:6" x14ac:dyDescent="0.2">
      <c r="A163" s="1"/>
    </row>
    <row r="164" spans="1:6" x14ac:dyDescent="0.2">
      <c r="A164" s="1" t="s">
        <v>1009</v>
      </c>
    </row>
    <row r="165" spans="1:6" x14ac:dyDescent="0.2">
      <c r="A165" s="1" t="s">
        <v>1010</v>
      </c>
    </row>
    <row r="166" spans="1:6" x14ac:dyDescent="0.2">
      <c r="A166" s="1" t="s">
        <v>1025</v>
      </c>
    </row>
    <row r="167" spans="1:6" x14ac:dyDescent="0.2">
      <c r="A167" s="1"/>
    </row>
    <row r="168" spans="1:6" x14ac:dyDescent="0.2">
      <c r="A168" s="1" t="s">
        <v>78</v>
      </c>
    </row>
    <row r="169" spans="1:6" ht="17" thickBot="1" x14ac:dyDescent="0.25">
      <c r="A169" s="1"/>
    </row>
    <row r="170" spans="1:6" ht="17" thickBot="1" x14ac:dyDescent="0.25">
      <c r="A170" s="144" t="s">
        <v>949</v>
      </c>
    </row>
    <row r="171" spans="1:6" x14ac:dyDescent="0.2">
      <c r="A171" s="1" t="s">
        <v>1012</v>
      </c>
    </row>
    <row r="172" spans="1:6" x14ac:dyDescent="0.2">
      <c r="A172" s="1" t="s">
        <v>1013</v>
      </c>
    </row>
    <row r="173" spans="1:6" x14ac:dyDescent="0.2">
      <c r="A173" s="1" t="s">
        <v>1014</v>
      </c>
    </row>
    <row r="174" spans="1:6" x14ac:dyDescent="0.2">
      <c r="A174" s="1" t="s">
        <v>1015</v>
      </c>
      <c r="E174" s="145">
        <v>150</v>
      </c>
      <c r="F174" s="145" t="s">
        <v>941</v>
      </c>
    </row>
    <row r="175" spans="1:6" ht="17" thickBot="1" x14ac:dyDescent="0.25">
      <c r="A175" s="1"/>
    </row>
    <row r="176" spans="1:6" ht="17" thickBot="1" x14ac:dyDescent="0.25">
      <c r="A176" s="144" t="s">
        <v>963</v>
      </c>
    </row>
    <row r="177" spans="1:8" x14ac:dyDescent="0.2">
      <c r="A177" s="1" t="s">
        <v>1016</v>
      </c>
    </row>
    <row r="178" spans="1:8" x14ac:dyDescent="0.2">
      <c r="A178" s="1" t="s">
        <v>1017</v>
      </c>
    </row>
    <row r="179" spans="1:8" x14ac:dyDescent="0.2">
      <c r="A179" s="1" t="s">
        <v>1018</v>
      </c>
    </row>
    <row r="180" spans="1:8" x14ac:dyDescent="0.2">
      <c r="A180" s="1"/>
      <c r="F180" s="1" t="s">
        <v>1019</v>
      </c>
      <c r="H180" s="1" t="s">
        <v>1021</v>
      </c>
    </row>
    <row r="181" spans="1:8" x14ac:dyDescent="0.2">
      <c r="A181" s="1"/>
      <c r="F181" s="1" t="s">
        <v>1020</v>
      </c>
    </row>
    <row r="182" spans="1:8" ht="17" thickBot="1" x14ac:dyDescent="0.25">
      <c r="A182" s="1"/>
    </row>
    <row r="183" spans="1:8" ht="17" thickBot="1" x14ac:dyDescent="0.25">
      <c r="A183" s="144" t="s">
        <v>1022</v>
      </c>
    </row>
    <row r="184" spans="1:8" x14ac:dyDescent="0.2">
      <c r="A184" s="127"/>
      <c r="F184" s="1" t="s">
        <v>1023</v>
      </c>
    </row>
    <row r="185" spans="1:8" x14ac:dyDescent="0.2">
      <c r="A185" s="127"/>
      <c r="F185" s="4" t="s">
        <v>1024</v>
      </c>
    </row>
    <row r="186" spans="1:8" x14ac:dyDescent="0.2">
      <c r="A186" s="1"/>
    </row>
    <row r="256" spans="1:1" x14ac:dyDescent="0.2">
      <c r="A256" s="160" t="s">
        <v>1157</v>
      </c>
    </row>
    <row r="257" spans="1:8" x14ac:dyDescent="0.2">
      <c r="A257" s="160" t="s">
        <v>1158</v>
      </c>
    </row>
    <row r="261" spans="1:8" ht="21" x14ac:dyDescent="0.25">
      <c r="A261" s="165" t="s">
        <v>1841</v>
      </c>
      <c r="B261" s="149"/>
      <c r="C261" s="149"/>
      <c r="D261" s="149"/>
      <c r="E261" s="149"/>
      <c r="F261" s="149"/>
      <c r="G261" s="149"/>
      <c r="H261" s="149"/>
    </row>
    <row r="267" spans="1:8" ht="17" thickBot="1" x14ac:dyDescent="0.25"/>
    <row r="268" spans="1:8" ht="17" thickBot="1" x14ac:dyDescent="0.25">
      <c r="A268" s="15" t="s">
        <v>1162</v>
      </c>
      <c r="B268" s="16"/>
      <c r="C268" s="16"/>
      <c r="D268" s="16"/>
      <c r="E268" s="16"/>
      <c r="F268" s="16"/>
      <c r="G268" s="16"/>
      <c r="H268" s="17"/>
    </row>
    <row r="269" spans="1:8" x14ac:dyDescent="0.2">
      <c r="A269" s="4" t="s">
        <v>944</v>
      </c>
    </row>
    <row r="270" spans="1:8" x14ac:dyDescent="0.2">
      <c r="A270" s="1" t="s">
        <v>265</v>
      </c>
    </row>
    <row r="271" spans="1:8" x14ac:dyDescent="0.2">
      <c r="A271" s="1" t="s">
        <v>204</v>
      </c>
    </row>
    <row r="272" spans="1:8" x14ac:dyDescent="0.2">
      <c r="A272" s="1" t="s">
        <v>1059</v>
      </c>
    </row>
    <row r="273" spans="1:8" x14ac:dyDescent="0.2">
      <c r="A273" s="1"/>
    </row>
    <row r="274" spans="1:8" x14ac:dyDescent="0.2">
      <c r="A274" s="4" t="s">
        <v>1840</v>
      </c>
    </row>
    <row r="275" spans="1:8" x14ac:dyDescent="0.2">
      <c r="A275" s="32" t="s">
        <v>264</v>
      </c>
      <c r="B275" s="32" t="s">
        <v>239</v>
      </c>
      <c r="C275" s="32" t="s">
        <v>77</v>
      </c>
      <c r="D275" s="25"/>
      <c r="E275" s="25"/>
      <c r="F275" s="25"/>
      <c r="G275" s="25"/>
      <c r="H275" s="25"/>
    </row>
    <row r="276" spans="1:8" x14ac:dyDescent="0.2">
      <c r="A276" s="32">
        <v>60</v>
      </c>
      <c r="B276" s="21">
        <f>-(100-60)</f>
        <v>-40</v>
      </c>
      <c r="C276" s="32">
        <f>20-(100-60)</f>
        <v>-20</v>
      </c>
      <c r="D276" s="25"/>
      <c r="E276" s="25"/>
      <c r="F276" s="150"/>
      <c r="G276" s="150"/>
      <c r="H276" s="150"/>
    </row>
    <row r="277" spans="1:8" x14ac:dyDescent="0.2">
      <c r="A277" s="32">
        <f>A276+10</f>
        <v>70</v>
      </c>
      <c r="B277" s="21">
        <f>-(100-70)</f>
        <v>-30</v>
      </c>
      <c r="C277" s="32">
        <f>20-(100-70)</f>
        <v>-10</v>
      </c>
      <c r="D277" s="25"/>
      <c r="E277" s="25"/>
      <c r="F277" s="150"/>
      <c r="G277" s="150"/>
      <c r="H277" s="150"/>
    </row>
    <row r="278" spans="1:8" x14ac:dyDescent="0.2">
      <c r="A278" s="32">
        <f t="shared" ref="A278:A284" si="4">A277+10</f>
        <v>80</v>
      </c>
      <c r="B278" s="21">
        <f>-(100-80)</f>
        <v>-20</v>
      </c>
      <c r="C278" s="32">
        <f>20-(100-80)</f>
        <v>0</v>
      </c>
      <c r="D278" s="25"/>
      <c r="E278" s="25"/>
      <c r="F278" s="25"/>
      <c r="G278" s="25"/>
      <c r="H278" s="25"/>
    </row>
    <row r="279" spans="1:8" x14ac:dyDescent="0.2">
      <c r="A279" s="32">
        <f t="shared" si="4"/>
        <v>90</v>
      </c>
      <c r="B279" s="21">
        <f>-(100-90)</f>
        <v>-10</v>
      </c>
      <c r="C279" s="32">
        <f>20-(100-90)</f>
        <v>10</v>
      </c>
      <c r="D279" s="25"/>
      <c r="E279" s="25"/>
      <c r="F279" s="25"/>
      <c r="G279" s="25"/>
      <c r="H279" s="25"/>
    </row>
    <row r="280" spans="1:8" x14ac:dyDescent="0.2">
      <c r="A280" s="32">
        <f t="shared" si="4"/>
        <v>100</v>
      </c>
      <c r="B280" s="21">
        <v>0</v>
      </c>
      <c r="C280" s="32">
        <v>20</v>
      </c>
      <c r="D280" s="25"/>
      <c r="E280" s="25"/>
      <c r="F280" s="25"/>
      <c r="G280" s="25"/>
      <c r="H280" s="25"/>
    </row>
    <row r="281" spans="1:8" x14ac:dyDescent="0.2">
      <c r="A281" s="32">
        <f t="shared" si="4"/>
        <v>110</v>
      </c>
      <c r="B281" s="21">
        <v>0</v>
      </c>
      <c r="C281" s="32">
        <v>20</v>
      </c>
      <c r="D281" s="25"/>
      <c r="E281" s="25"/>
      <c r="F281" s="25"/>
      <c r="G281" s="25"/>
      <c r="H281" s="25"/>
    </row>
    <row r="282" spans="1:8" x14ac:dyDescent="0.2">
      <c r="A282" s="32">
        <f t="shared" si="4"/>
        <v>120</v>
      </c>
      <c r="B282" s="21">
        <v>0</v>
      </c>
      <c r="C282" s="32">
        <v>20</v>
      </c>
      <c r="D282" s="25"/>
      <c r="E282" s="25"/>
      <c r="F282" s="25"/>
      <c r="G282" s="25"/>
      <c r="H282" s="25"/>
    </row>
    <row r="283" spans="1:8" x14ac:dyDescent="0.2">
      <c r="A283" s="32">
        <f>A282+10</f>
        <v>130</v>
      </c>
      <c r="B283" s="21">
        <v>0</v>
      </c>
      <c r="C283" s="32">
        <v>20</v>
      </c>
    </row>
    <row r="284" spans="1:8" x14ac:dyDescent="0.2">
      <c r="A284" s="32">
        <f t="shared" si="4"/>
        <v>140</v>
      </c>
      <c r="B284" s="21">
        <v>0</v>
      </c>
      <c r="C284" s="32">
        <v>20</v>
      </c>
    </row>
    <row r="285" spans="1:8" ht="17" thickBot="1" x14ac:dyDescent="0.25">
      <c r="A285" s="1"/>
    </row>
    <row r="286" spans="1:8" ht="17" thickBot="1" x14ac:dyDescent="0.25">
      <c r="A286" s="15" t="s">
        <v>1163</v>
      </c>
      <c r="B286" s="16"/>
      <c r="C286" s="16"/>
      <c r="D286" s="16"/>
      <c r="E286" s="16"/>
      <c r="F286" s="16"/>
      <c r="G286" s="16"/>
      <c r="H286" s="17"/>
    </row>
    <row r="287" spans="1:8" x14ac:dyDescent="0.2">
      <c r="A287" s="1" t="s">
        <v>289</v>
      </c>
    </row>
    <row r="288" spans="1:8" x14ac:dyDescent="0.2">
      <c r="A288" s="1" t="s">
        <v>290</v>
      </c>
    </row>
    <row r="289" spans="1:8" x14ac:dyDescent="0.2">
      <c r="A289" s="1" t="s">
        <v>291</v>
      </c>
    </row>
    <row r="290" spans="1:8" x14ac:dyDescent="0.2">
      <c r="A290" s="1" t="s">
        <v>292</v>
      </c>
    </row>
    <row r="291" spans="1:8" x14ac:dyDescent="0.2">
      <c r="A291" s="1" t="s">
        <v>293</v>
      </c>
    </row>
    <row r="292" spans="1:8" x14ac:dyDescent="0.2">
      <c r="A292" s="1" t="s">
        <v>294</v>
      </c>
    </row>
    <row r="293" spans="1:8" x14ac:dyDescent="0.2">
      <c r="A293" s="1"/>
    </row>
    <row r="294" spans="1:8" x14ac:dyDescent="0.2">
      <c r="A294" s="4" t="s">
        <v>78</v>
      </c>
    </row>
    <row r="295" spans="1:8" ht="17" thickBot="1" x14ac:dyDescent="0.25">
      <c r="A295" s="1"/>
    </row>
    <row r="296" spans="1:8" s="25" customFormat="1" x14ac:dyDescent="0.2">
      <c r="A296" s="22" t="s">
        <v>295</v>
      </c>
      <c r="B296" s="23"/>
      <c r="C296" s="23"/>
      <c r="D296" s="23"/>
      <c r="E296" s="23"/>
      <c r="F296" s="23"/>
      <c r="G296" s="23"/>
      <c r="H296" s="24"/>
    </row>
    <row r="297" spans="1:8" s="25" customFormat="1" x14ac:dyDescent="0.2">
      <c r="A297" s="26" t="s">
        <v>296</v>
      </c>
      <c r="H297" s="27"/>
    </row>
    <row r="298" spans="1:8" s="25" customFormat="1" x14ac:dyDescent="0.2">
      <c r="A298" s="26" t="s">
        <v>297</v>
      </c>
      <c r="H298" s="27"/>
    </row>
    <row r="299" spans="1:8" s="25" customFormat="1" x14ac:dyDescent="0.2">
      <c r="A299" s="26" t="s">
        <v>298</v>
      </c>
      <c r="H299" s="27"/>
    </row>
    <row r="300" spans="1:8" s="25" customFormat="1" x14ac:dyDescent="0.2">
      <c r="A300" s="26" t="s">
        <v>299</v>
      </c>
      <c r="H300" s="27"/>
    </row>
    <row r="301" spans="1:8" s="25" customFormat="1" x14ac:dyDescent="0.2">
      <c r="A301" s="26" t="s">
        <v>300</v>
      </c>
      <c r="H301" s="27"/>
    </row>
    <row r="302" spans="1:8" s="25" customFormat="1" x14ac:dyDescent="0.2">
      <c r="A302" s="26" t="s">
        <v>301</v>
      </c>
      <c r="H302" s="27"/>
    </row>
    <row r="303" spans="1:8" s="25" customFormat="1" ht="17" thickBot="1" x14ac:dyDescent="0.25">
      <c r="A303" s="28" t="s">
        <v>302</v>
      </c>
      <c r="B303" s="29"/>
      <c r="C303" s="29"/>
      <c r="D303" s="29"/>
      <c r="E303" s="29"/>
      <c r="F303" s="29"/>
      <c r="G303" s="29"/>
      <c r="H303" s="30"/>
    </row>
    <row r="304" spans="1:8" s="25" customFormat="1" x14ac:dyDescent="0.2">
      <c r="A304" s="164"/>
    </row>
    <row r="306" spans="1:8" ht="17" thickBot="1" x14ac:dyDescent="0.25"/>
    <row r="307" spans="1:8" ht="17" thickBot="1" x14ac:dyDescent="0.25">
      <c r="A307" s="15" t="s">
        <v>1026</v>
      </c>
      <c r="B307" s="16"/>
      <c r="C307" s="16"/>
      <c r="D307" s="16"/>
      <c r="E307" s="16"/>
      <c r="F307" s="16"/>
      <c r="G307" s="16"/>
      <c r="H307" s="17"/>
    </row>
    <row r="308" spans="1:8" x14ac:dyDescent="0.2">
      <c r="A308" s="48" t="s">
        <v>310</v>
      </c>
    </row>
    <row r="309" spans="1:8" x14ac:dyDescent="0.2">
      <c r="A309" s="48" t="s">
        <v>311</v>
      </c>
    </row>
    <row r="310" spans="1:8" x14ac:dyDescent="0.2">
      <c r="A310" s="1"/>
    </row>
    <row r="311" spans="1:8" x14ac:dyDescent="0.2">
      <c r="A311" s="4" t="s">
        <v>78</v>
      </c>
    </row>
    <row r="312" spans="1:8" x14ac:dyDescent="0.2">
      <c r="A312" s="1"/>
    </row>
    <row r="313" spans="1:8" x14ac:dyDescent="0.2">
      <c r="A313" s="1" t="s">
        <v>312</v>
      </c>
      <c r="C313" s="1" t="s">
        <v>313</v>
      </c>
    </row>
    <row r="314" spans="1:8" x14ac:dyDescent="0.2">
      <c r="A314" s="1" t="s">
        <v>314</v>
      </c>
      <c r="C314" s="1">
        <f>3.8-3.2</f>
        <v>0.59999999999999964</v>
      </c>
    </row>
    <row r="315" spans="1:8" x14ac:dyDescent="0.2">
      <c r="A315" s="1" t="s">
        <v>315</v>
      </c>
      <c r="C315" s="55">
        <v>10000</v>
      </c>
    </row>
    <row r="316" spans="1:8" x14ac:dyDescent="0.2">
      <c r="A316" s="1" t="s">
        <v>316</v>
      </c>
      <c r="C316" s="1">
        <f>C314*C315</f>
        <v>5999.9999999999964</v>
      </c>
    </row>
    <row r="317" spans="1:8" x14ac:dyDescent="0.2">
      <c r="A317" s="1" t="s">
        <v>317</v>
      </c>
      <c r="C317" s="1">
        <v>-2200</v>
      </c>
    </row>
    <row r="318" spans="1:8" x14ac:dyDescent="0.2">
      <c r="A318" s="1" t="s">
        <v>318</v>
      </c>
      <c r="C318" s="1">
        <f>C316+C317</f>
        <v>3799.9999999999964</v>
      </c>
    </row>
    <row r="319" spans="1:8" ht="17" thickBot="1" x14ac:dyDescent="0.25">
      <c r="A319" s="1"/>
    </row>
    <row r="320" spans="1:8" ht="17" thickBot="1" x14ac:dyDescent="0.25">
      <c r="A320" s="15" t="s">
        <v>1027</v>
      </c>
      <c r="B320" s="16"/>
      <c r="C320" s="16"/>
      <c r="D320" s="16"/>
      <c r="E320" s="16"/>
      <c r="F320" s="16"/>
      <c r="G320" s="16"/>
      <c r="H320" s="17"/>
    </row>
    <row r="321" spans="1:5" x14ac:dyDescent="0.2">
      <c r="A321" s="1" t="s">
        <v>303</v>
      </c>
    </row>
    <row r="322" spans="1:5" x14ac:dyDescent="0.2">
      <c r="A322" s="1" t="s">
        <v>304</v>
      </c>
    </row>
    <row r="323" spans="1:5" x14ac:dyDescent="0.2">
      <c r="A323" s="1" t="s">
        <v>306</v>
      </c>
    </row>
    <row r="324" spans="1:5" x14ac:dyDescent="0.2">
      <c r="A324" s="1"/>
    </row>
    <row r="325" spans="1:5" x14ac:dyDescent="0.2">
      <c r="A325" s="1"/>
      <c r="B325" s="331" t="s">
        <v>308</v>
      </c>
      <c r="C325" s="331"/>
      <c r="D325" s="338" t="s">
        <v>309</v>
      </c>
      <c r="E325" s="338"/>
    </row>
    <row r="326" spans="1:5" ht="34" x14ac:dyDescent="0.2">
      <c r="A326" s="21" t="s">
        <v>71</v>
      </c>
      <c r="B326" s="56" t="s">
        <v>305</v>
      </c>
      <c r="C326" s="56" t="s">
        <v>307</v>
      </c>
      <c r="D326" s="56" t="s">
        <v>305</v>
      </c>
      <c r="E326" s="56" t="s">
        <v>307</v>
      </c>
    </row>
    <row r="327" spans="1:5" x14ac:dyDescent="0.2">
      <c r="A327" s="21">
        <v>2.8</v>
      </c>
      <c r="B327" s="21">
        <f>0*10000</f>
        <v>0</v>
      </c>
      <c r="C327" s="49">
        <f>B327-2000</f>
        <v>-2000</v>
      </c>
      <c r="D327" s="21">
        <f>B327*3</f>
        <v>0</v>
      </c>
      <c r="E327" s="49">
        <f>D327-2000*3</f>
        <v>-6000</v>
      </c>
    </row>
    <row r="328" spans="1:5" x14ac:dyDescent="0.2">
      <c r="A328" s="21">
        <f>A327+0.1</f>
        <v>2.9</v>
      </c>
      <c r="B328" s="21">
        <f t="shared" ref="B328:B333" si="5">0*10000</f>
        <v>0</v>
      </c>
      <c r="C328" s="49">
        <f t="shared" ref="C328:C339" si="6">B328-2000</f>
        <v>-2000</v>
      </c>
      <c r="D328" s="21">
        <f t="shared" ref="D328:D339" si="7">B328*3</f>
        <v>0</v>
      </c>
      <c r="E328" s="49">
        <f t="shared" ref="E328:E339" si="8">D328-2000*3</f>
        <v>-6000</v>
      </c>
    </row>
    <row r="329" spans="1:5" x14ac:dyDescent="0.2">
      <c r="A329" s="21">
        <f t="shared" ref="A329:A339" si="9">A328+0.1</f>
        <v>3</v>
      </c>
      <c r="B329" s="21">
        <f t="shared" si="5"/>
        <v>0</v>
      </c>
      <c r="C329" s="49">
        <f t="shared" si="6"/>
        <v>-2000</v>
      </c>
      <c r="D329" s="21">
        <f t="shared" si="7"/>
        <v>0</v>
      </c>
      <c r="E329" s="49">
        <f t="shared" si="8"/>
        <v>-6000</v>
      </c>
    </row>
    <row r="330" spans="1:5" x14ac:dyDescent="0.2">
      <c r="A330" s="21">
        <f t="shared" si="9"/>
        <v>3.1</v>
      </c>
      <c r="B330" s="21">
        <f t="shared" si="5"/>
        <v>0</v>
      </c>
      <c r="C330" s="49">
        <f t="shared" si="6"/>
        <v>-2000</v>
      </c>
      <c r="D330" s="21">
        <f t="shared" si="7"/>
        <v>0</v>
      </c>
      <c r="E330" s="49">
        <f t="shared" si="8"/>
        <v>-6000</v>
      </c>
    </row>
    <row r="331" spans="1:5" x14ac:dyDescent="0.2">
      <c r="A331" s="21">
        <f t="shared" si="9"/>
        <v>3.2</v>
      </c>
      <c r="B331" s="21">
        <f t="shared" si="5"/>
        <v>0</v>
      </c>
      <c r="C331" s="49">
        <f t="shared" si="6"/>
        <v>-2000</v>
      </c>
      <c r="D331" s="21">
        <f t="shared" si="7"/>
        <v>0</v>
      </c>
      <c r="E331" s="49">
        <f t="shared" si="8"/>
        <v>-6000</v>
      </c>
    </row>
    <row r="332" spans="1:5" x14ac:dyDescent="0.2">
      <c r="A332" s="21">
        <f t="shared" si="9"/>
        <v>3.3000000000000003</v>
      </c>
      <c r="B332" s="21">
        <f t="shared" si="5"/>
        <v>0</v>
      </c>
      <c r="C332" s="49">
        <f t="shared" si="6"/>
        <v>-2000</v>
      </c>
      <c r="D332" s="21">
        <f t="shared" si="7"/>
        <v>0</v>
      </c>
      <c r="E332" s="49">
        <f t="shared" si="8"/>
        <v>-6000</v>
      </c>
    </row>
    <row r="333" spans="1:5" x14ac:dyDescent="0.2">
      <c r="A333" s="21">
        <f t="shared" si="9"/>
        <v>3.4000000000000004</v>
      </c>
      <c r="B333" s="21">
        <f t="shared" si="5"/>
        <v>0</v>
      </c>
      <c r="C333" s="49">
        <f t="shared" si="6"/>
        <v>-2000</v>
      </c>
      <c r="D333" s="21">
        <f t="shared" si="7"/>
        <v>0</v>
      </c>
      <c r="E333" s="49">
        <f t="shared" si="8"/>
        <v>-6000</v>
      </c>
    </row>
    <row r="334" spans="1:5" x14ac:dyDescent="0.2">
      <c r="A334" s="21">
        <f t="shared" si="9"/>
        <v>3.5000000000000004</v>
      </c>
      <c r="B334" s="49">
        <f>(A334-3.4)*10000</f>
        <v>1000.0000000000053</v>
      </c>
      <c r="C334" s="49">
        <f t="shared" si="6"/>
        <v>-999.99999999999466</v>
      </c>
      <c r="D334" s="21">
        <f t="shared" si="7"/>
        <v>3000.0000000000159</v>
      </c>
      <c r="E334" s="49">
        <f t="shared" si="8"/>
        <v>-2999.9999999999841</v>
      </c>
    </row>
    <row r="335" spans="1:5" x14ac:dyDescent="0.2">
      <c r="A335" s="21">
        <f t="shared" si="9"/>
        <v>3.6000000000000005</v>
      </c>
      <c r="B335" s="49">
        <f t="shared" ref="B335:B339" si="10">(A335-3.4)*10000</f>
        <v>2000.0000000000061</v>
      </c>
      <c r="C335" s="49">
        <f t="shared" si="6"/>
        <v>6.1390892369672656E-12</v>
      </c>
      <c r="D335" s="21">
        <f t="shared" si="7"/>
        <v>6000.0000000000182</v>
      </c>
      <c r="E335" s="49">
        <f t="shared" si="8"/>
        <v>1.8189894035458565E-11</v>
      </c>
    </row>
    <row r="336" spans="1:5" x14ac:dyDescent="0.2">
      <c r="A336" s="21">
        <f>A335+0.1</f>
        <v>3.7000000000000006</v>
      </c>
      <c r="B336" s="49">
        <f t="shared" si="10"/>
        <v>3000.0000000000073</v>
      </c>
      <c r="C336" s="49">
        <f t="shared" si="6"/>
        <v>1000.0000000000073</v>
      </c>
      <c r="D336" s="21">
        <f t="shared" si="7"/>
        <v>9000.0000000000218</v>
      </c>
      <c r="E336" s="49">
        <f t="shared" si="8"/>
        <v>3000.0000000000218</v>
      </c>
    </row>
    <row r="337" spans="1:9" x14ac:dyDescent="0.2">
      <c r="A337" s="21">
        <f t="shared" si="9"/>
        <v>3.8000000000000007</v>
      </c>
      <c r="B337" s="49">
        <f t="shared" si="10"/>
        <v>4000.0000000000082</v>
      </c>
      <c r="C337" s="49">
        <f t="shared" si="6"/>
        <v>2000.0000000000082</v>
      </c>
      <c r="D337" s="21">
        <f t="shared" si="7"/>
        <v>12000.000000000025</v>
      </c>
      <c r="E337" s="49">
        <f t="shared" si="8"/>
        <v>6000.0000000000255</v>
      </c>
    </row>
    <row r="338" spans="1:9" x14ac:dyDescent="0.2">
      <c r="A338" s="21">
        <f t="shared" si="9"/>
        <v>3.9000000000000008</v>
      </c>
      <c r="B338" s="49">
        <f t="shared" si="10"/>
        <v>5000.0000000000091</v>
      </c>
      <c r="C338" s="49">
        <f t="shared" si="6"/>
        <v>3000.0000000000091</v>
      </c>
      <c r="D338" s="21">
        <f t="shared" si="7"/>
        <v>15000.000000000027</v>
      </c>
      <c r="E338" s="49">
        <f t="shared" si="8"/>
        <v>9000.0000000000273</v>
      </c>
    </row>
    <row r="339" spans="1:9" x14ac:dyDescent="0.2">
      <c r="A339" s="21">
        <f t="shared" si="9"/>
        <v>4.0000000000000009</v>
      </c>
      <c r="B339" s="49">
        <f t="shared" si="10"/>
        <v>6000.00000000001</v>
      </c>
      <c r="C339" s="49">
        <f t="shared" si="6"/>
        <v>4000.00000000001</v>
      </c>
      <c r="D339" s="21">
        <f t="shared" si="7"/>
        <v>18000.000000000029</v>
      </c>
      <c r="E339" s="49">
        <f t="shared" si="8"/>
        <v>12000.000000000029</v>
      </c>
    </row>
    <row r="340" spans="1:9" ht="17" thickBot="1" x14ac:dyDescent="0.25">
      <c r="A340" s="1"/>
    </row>
    <row r="341" spans="1:9" ht="17" thickBot="1" x14ac:dyDescent="0.25">
      <c r="A341" s="147" t="s">
        <v>1028</v>
      </c>
      <c r="B341" s="51"/>
      <c r="C341" s="51"/>
      <c r="D341" s="51"/>
      <c r="E341" s="51"/>
      <c r="F341" s="51"/>
      <c r="G341" s="146"/>
      <c r="H341" s="148"/>
      <c r="I341" s="53"/>
    </row>
    <row r="342" spans="1:9" x14ac:dyDescent="0.2">
      <c r="A342" s="1"/>
    </row>
    <row r="343" spans="1:9" x14ac:dyDescent="0.2">
      <c r="A343" s="1" t="s">
        <v>1029</v>
      </c>
    </row>
    <row r="344" spans="1:9" x14ac:dyDescent="0.2">
      <c r="A344" s="1" t="s">
        <v>1030</v>
      </c>
    </row>
    <row r="345" spans="1:9" x14ac:dyDescent="0.2">
      <c r="A345" s="1" t="s">
        <v>1031</v>
      </c>
    </row>
    <row r="346" spans="1:9" x14ac:dyDescent="0.2">
      <c r="A346" s="1" t="s">
        <v>1032</v>
      </c>
    </row>
    <row r="347" spans="1:9" x14ac:dyDescent="0.2">
      <c r="A347" s="1"/>
    </row>
    <row r="348" spans="1:9" x14ac:dyDescent="0.2">
      <c r="A348" s="4" t="s">
        <v>1033</v>
      </c>
    </row>
    <row r="349" spans="1:9" x14ac:dyDescent="0.2">
      <c r="A349" s="1"/>
    </row>
    <row r="350" spans="1:9" x14ac:dyDescent="0.2">
      <c r="A350" s="21" t="s">
        <v>71</v>
      </c>
      <c r="B350" s="21" t="s">
        <v>262</v>
      </c>
    </row>
    <row r="351" spans="1:9" x14ac:dyDescent="0.2">
      <c r="A351" s="21">
        <v>0</v>
      </c>
      <c r="B351" s="21">
        <f>(40-0)*100-500</f>
        <v>3500</v>
      </c>
    </row>
    <row r="352" spans="1:9" x14ac:dyDescent="0.2">
      <c r="A352" s="21">
        <f>A351+10</f>
        <v>10</v>
      </c>
      <c r="B352" s="21">
        <f>(40-10)*100-500</f>
        <v>2500</v>
      </c>
    </row>
    <row r="353" spans="1:9" x14ac:dyDescent="0.2">
      <c r="A353" s="21">
        <f t="shared" ref="A353:A361" si="11">A352+10</f>
        <v>20</v>
      </c>
      <c r="B353" s="21">
        <f>(40-20)*100-500</f>
        <v>1500</v>
      </c>
    </row>
    <row r="354" spans="1:9" x14ac:dyDescent="0.2">
      <c r="A354" s="21">
        <f t="shared" si="11"/>
        <v>30</v>
      </c>
      <c r="B354" s="21">
        <f>(40-30)*100-500</f>
        <v>500</v>
      </c>
    </row>
    <row r="355" spans="1:9" x14ac:dyDescent="0.2">
      <c r="A355" s="21">
        <f t="shared" si="11"/>
        <v>40</v>
      </c>
      <c r="B355" s="21">
        <v>-500</v>
      </c>
    </row>
    <row r="356" spans="1:9" x14ac:dyDescent="0.2">
      <c r="A356" s="21">
        <f t="shared" si="11"/>
        <v>50</v>
      </c>
      <c r="B356" s="21">
        <f>B355</f>
        <v>-500</v>
      </c>
    </row>
    <row r="357" spans="1:9" x14ac:dyDescent="0.2">
      <c r="A357" s="21">
        <f t="shared" si="11"/>
        <v>60</v>
      </c>
      <c r="B357" s="21">
        <f t="shared" ref="B357:B361" si="12">B356</f>
        <v>-500</v>
      </c>
    </row>
    <row r="358" spans="1:9" x14ac:dyDescent="0.2">
      <c r="A358" s="21">
        <f t="shared" si="11"/>
        <v>70</v>
      </c>
      <c r="B358" s="21">
        <f t="shared" si="12"/>
        <v>-500</v>
      </c>
    </row>
    <row r="359" spans="1:9" x14ac:dyDescent="0.2">
      <c r="A359" s="21">
        <f t="shared" si="11"/>
        <v>80</v>
      </c>
      <c r="B359" s="21">
        <f t="shared" si="12"/>
        <v>-500</v>
      </c>
    </row>
    <row r="360" spans="1:9" x14ac:dyDescent="0.2">
      <c r="A360" s="21">
        <f t="shared" si="11"/>
        <v>90</v>
      </c>
      <c r="B360" s="21">
        <f t="shared" si="12"/>
        <v>-500</v>
      </c>
    </row>
    <row r="361" spans="1:9" x14ac:dyDescent="0.2">
      <c r="A361" s="21">
        <f t="shared" si="11"/>
        <v>100</v>
      </c>
      <c r="B361" s="21">
        <f t="shared" si="12"/>
        <v>-500</v>
      </c>
    </row>
    <row r="362" spans="1:9" ht="17" thickBot="1" x14ac:dyDescent="0.25">
      <c r="A362" s="1"/>
    </row>
    <row r="363" spans="1:9" ht="17" thickBot="1" x14ac:dyDescent="0.25">
      <c r="A363" s="147" t="s">
        <v>1034</v>
      </c>
      <c r="B363" s="51"/>
      <c r="C363" s="51"/>
      <c r="D363" s="51"/>
      <c r="E363" s="51"/>
      <c r="F363" s="51"/>
      <c r="G363" s="146"/>
      <c r="H363" s="148"/>
      <c r="I363" s="53"/>
    </row>
    <row r="364" spans="1:9" x14ac:dyDescent="0.2">
      <c r="A364" s="1"/>
    </row>
    <row r="365" spans="1:9" x14ac:dyDescent="0.2">
      <c r="A365" s="1" t="s">
        <v>1036</v>
      </c>
    </row>
    <row r="366" spans="1:9" x14ac:dyDescent="0.2">
      <c r="A366" s="1" t="s">
        <v>1035</v>
      </c>
    </row>
    <row r="367" spans="1:9" x14ac:dyDescent="0.2">
      <c r="A367" s="1" t="s">
        <v>1037</v>
      </c>
    </row>
    <row r="368" spans="1:9" x14ac:dyDescent="0.2">
      <c r="A368" s="1" t="s">
        <v>1038</v>
      </c>
    </row>
    <row r="369" spans="1:8" x14ac:dyDescent="0.2">
      <c r="A369" s="1" t="s">
        <v>1039</v>
      </c>
    </row>
    <row r="370" spans="1:8" x14ac:dyDescent="0.2">
      <c r="A370" s="1" t="s">
        <v>1040</v>
      </c>
    </row>
    <row r="371" spans="1:8" x14ac:dyDescent="0.2">
      <c r="A371" s="1"/>
    </row>
    <row r="372" spans="1:8" x14ac:dyDescent="0.2">
      <c r="A372" s="1" t="s">
        <v>78</v>
      </c>
      <c r="B372" s="1" t="s">
        <v>1164</v>
      </c>
      <c r="C372" s="1" t="s">
        <v>1165</v>
      </c>
    </row>
    <row r="373" spans="1:8" x14ac:dyDescent="0.2">
      <c r="A373" s="1" t="s">
        <v>1041</v>
      </c>
      <c r="B373" s="1">
        <v>-500</v>
      </c>
      <c r="C373" s="1">
        <f>B373*3</f>
        <v>-1500</v>
      </c>
    </row>
    <row r="374" spans="1:8" x14ac:dyDescent="0.2">
      <c r="A374" s="1" t="s">
        <v>784</v>
      </c>
      <c r="B374" s="1">
        <v>-500</v>
      </c>
      <c r="C374" s="1">
        <f>B374*3</f>
        <v>-1500</v>
      </c>
    </row>
    <row r="375" spans="1:8" x14ac:dyDescent="0.2">
      <c r="A375" s="1" t="s">
        <v>1042</v>
      </c>
      <c r="B375" s="1">
        <f>(1000-200)*100-500</f>
        <v>79500</v>
      </c>
      <c r="C375" s="1">
        <f>B375*3</f>
        <v>238500</v>
      </c>
    </row>
    <row r="376" spans="1:8" ht="17" thickBot="1" x14ac:dyDescent="0.25">
      <c r="A376" s="1"/>
    </row>
    <row r="377" spans="1:8" ht="17" thickBot="1" x14ac:dyDescent="0.25">
      <c r="A377" s="15" t="s">
        <v>1060</v>
      </c>
      <c r="B377" s="16"/>
      <c r="C377" s="16"/>
      <c r="D377" s="16"/>
      <c r="E377" s="16"/>
      <c r="F377" s="16"/>
      <c r="G377" s="16"/>
      <c r="H377" s="17"/>
    </row>
    <row r="378" spans="1:8" x14ac:dyDescent="0.2">
      <c r="A378" s="1"/>
    </row>
    <row r="379" spans="1:8" x14ac:dyDescent="0.2">
      <c r="A379" s="1" t="s">
        <v>255</v>
      </c>
    </row>
    <row r="380" spans="1:8" x14ac:dyDescent="0.2">
      <c r="A380" s="1" t="s">
        <v>256</v>
      </c>
    </row>
    <row r="381" spans="1:8" x14ac:dyDescent="0.2">
      <c r="A381" s="1" t="s">
        <v>257</v>
      </c>
    </row>
    <row r="382" spans="1:8" x14ac:dyDescent="0.2">
      <c r="A382" s="1" t="s">
        <v>258</v>
      </c>
      <c r="F382" s="1" t="s">
        <v>273</v>
      </c>
    </row>
    <row r="383" spans="1:8" x14ac:dyDescent="0.2">
      <c r="A383" s="1" t="s">
        <v>259</v>
      </c>
    </row>
    <row r="384" spans="1:8" x14ac:dyDescent="0.2">
      <c r="A384" s="1" t="s">
        <v>260</v>
      </c>
    </row>
    <row r="385" spans="1:8" x14ac:dyDescent="0.2">
      <c r="A385" s="1" t="s">
        <v>261</v>
      </c>
    </row>
    <row r="386" spans="1:8" x14ac:dyDescent="0.2">
      <c r="A386" s="1"/>
    </row>
    <row r="387" spans="1:8" x14ac:dyDescent="0.2">
      <c r="A387" s="1" t="s">
        <v>266</v>
      </c>
    </row>
    <row r="388" spans="1:8" x14ac:dyDescent="0.2">
      <c r="A388" s="1" t="s">
        <v>267</v>
      </c>
    </row>
    <row r="389" spans="1:8" x14ac:dyDescent="0.2">
      <c r="A389" s="1"/>
    </row>
    <row r="390" spans="1:8" x14ac:dyDescent="0.2">
      <c r="A390" s="1" t="s">
        <v>268</v>
      </c>
    </row>
    <row r="391" spans="1:8" x14ac:dyDescent="0.2">
      <c r="A391" s="1" t="s">
        <v>270</v>
      </c>
    </row>
    <row r="392" spans="1:8" x14ac:dyDescent="0.2">
      <c r="A392" s="1" t="s">
        <v>269</v>
      </c>
    </row>
    <row r="393" spans="1:8" x14ac:dyDescent="0.2">
      <c r="A393" s="1" t="s">
        <v>271</v>
      </c>
    </row>
    <row r="394" spans="1:8" x14ac:dyDescent="0.2">
      <c r="A394" s="1" t="s">
        <v>272</v>
      </c>
    </row>
    <row r="395" spans="1:8" ht="17" thickBot="1" x14ac:dyDescent="0.25">
      <c r="A395" s="1"/>
    </row>
    <row r="396" spans="1:8" ht="17" thickBot="1" x14ac:dyDescent="0.25">
      <c r="A396" s="15" t="s">
        <v>1061</v>
      </c>
      <c r="B396" s="16"/>
      <c r="C396" s="16"/>
      <c r="D396" s="16"/>
      <c r="E396" s="16"/>
      <c r="F396" s="16"/>
      <c r="G396" s="16"/>
      <c r="H396" s="17"/>
    </row>
    <row r="397" spans="1:8" x14ac:dyDescent="0.2">
      <c r="A397" s="48" t="s">
        <v>255</v>
      </c>
    </row>
    <row r="398" spans="1:8" x14ac:dyDescent="0.2">
      <c r="A398" s="48" t="s">
        <v>274</v>
      </c>
    </row>
    <row r="399" spans="1:8" x14ac:dyDescent="0.2">
      <c r="A399" s="1"/>
    </row>
    <row r="400" spans="1:8" x14ac:dyDescent="0.2">
      <c r="A400" s="1" t="s">
        <v>275</v>
      </c>
      <c r="C400" s="21">
        <v>3.8</v>
      </c>
      <c r="D400" s="21" t="s">
        <v>276</v>
      </c>
    </row>
    <row r="401" spans="1:4" x14ac:dyDescent="0.2">
      <c r="A401" s="1" t="s">
        <v>275</v>
      </c>
      <c r="C401" s="21">
        <v>3.7</v>
      </c>
      <c r="D401" s="21" t="s">
        <v>277</v>
      </c>
    </row>
    <row r="402" spans="1:4" x14ac:dyDescent="0.2">
      <c r="A402" s="1" t="s">
        <v>278</v>
      </c>
      <c r="C402" s="21" t="s">
        <v>279</v>
      </c>
    </row>
    <row r="403" spans="1:4" x14ac:dyDescent="0.2">
      <c r="A403" s="1" t="s">
        <v>280</v>
      </c>
      <c r="C403" s="21" t="s">
        <v>284</v>
      </c>
    </row>
    <row r="404" spans="1:4" x14ac:dyDescent="0.2">
      <c r="A404" s="1" t="s">
        <v>281</v>
      </c>
      <c r="C404" s="21">
        <v>0.1</v>
      </c>
      <c r="D404" s="21" t="s">
        <v>285</v>
      </c>
    </row>
    <row r="405" spans="1:4" x14ac:dyDescent="0.2">
      <c r="A405" s="1" t="s">
        <v>282</v>
      </c>
      <c r="C405" s="49">
        <v>10000</v>
      </c>
    </row>
    <row r="406" spans="1:4" x14ac:dyDescent="0.2">
      <c r="A406" s="1" t="s">
        <v>287</v>
      </c>
      <c r="C406" s="49">
        <f>C405*C404</f>
        <v>1000</v>
      </c>
      <c r="D406" s="1" t="s">
        <v>286</v>
      </c>
    </row>
    <row r="407" spans="1:4" x14ac:dyDescent="0.2">
      <c r="A407" s="1" t="s">
        <v>283</v>
      </c>
      <c r="C407" s="49">
        <v>-500</v>
      </c>
      <c r="D407" s="1" t="s">
        <v>288</v>
      </c>
    </row>
    <row r="408" spans="1:4" x14ac:dyDescent="0.2">
      <c r="A408" s="1"/>
    </row>
    <row r="409" spans="1:4" x14ac:dyDescent="0.2">
      <c r="A409" s="1"/>
    </row>
    <row r="410" spans="1:4" x14ac:dyDescent="0.2">
      <c r="A410" s="1"/>
    </row>
    <row r="411" spans="1:4" x14ac:dyDescent="0.2">
      <c r="A411" s="1"/>
    </row>
    <row r="412" spans="1:4" x14ac:dyDescent="0.2">
      <c r="A412" s="1"/>
    </row>
    <row r="413" spans="1:4" x14ac:dyDescent="0.2">
      <c r="A413" s="1"/>
    </row>
    <row r="414" spans="1:4" x14ac:dyDescent="0.2">
      <c r="A414" s="1"/>
    </row>
    <row r="415" spans="1:4" x14ac:dyDescent="0.2">
      <c r="A415" s="1"/>
    </row>
    <row r="416" spans="1:4" x14ac:dyDescent="0.2">
      <c r="A416" s="1"/>
    </row>
    <row r="417" spans="1:1" x14ac:dyDescent="0.2">
      <c r="A417" s="1"/>
    </row>
    <row r="418" spans="1:1" x14ac:dyDescent="0.2">
      <c r="A418" s="1"/>
    </row>
    <row r="419" spans="1:1" x14ac:dyDescent="0.2">
      <c r="A419" s="1"/>
    </row>
    <row r="420" spans="1:1" x14ac:dyDescent="0.2">
      <c r="A420" s="1"/>
    </row>
    <row r="421" spans="1:1" x14ac:dyDescent="0.2">
      <c r="A421" s="1"/>
    </row>
    <row r="422" spans="1:1" x14ac:dyDescent="0.2">
      <c r="A422" s="1"/>
    </row>
    <row r="423" spans="1:1" x14ac:dyDescent="0.2">
      <c r="A423" s="1"/>
    </row>
    <row r="424" spans="1:1" x14ac:dyDescent="0.2">
      <c r="A424" s="1"/>
    </row>
    <row r="425" spans="1:1" x14ac:dyDescent="0.2">
      <c r="A425" s="1"/>
    </row>
    <row r="426" spans="1:1" x14ac:dyDescent="0.2">
      <c r="A426" s="1"/>
    </row>
    <row r="427" spans="1:1" x14ac:dyDescent="0.2">
      <c r="A427" s="1"/>
    </row>
    <row r="428" spans="1:1" x14ac:dyDescent="0.2">
      <c r="A428" s="1"/>
    </row>
    <row r="429" spans="1:1" x14ac:dyDescent="0.2">
      <c r="A429" s="1"/>
    </row>
    <row r="430" spans="1:1" x14ac:dyDescent="0.2">
      <c r="A430" s="1"/>
    </row>
    <row r="431" spans="1:1" x14ac:dyDescent="0.2">
      <c r="A431" s="1"/>
    </row>
    <row r="432" spans="1:1" x14ac:dyDescent="0.2">
      <c r="A432" s="1"/>
    </row>
    <row r="433" spans="1:1" x14ac:dyDescent="0.2">
      <c r="A433" s="1"/>
    </row>
    <row r="434" spans="1:1" x14ac:dyDescent="0.2">
      <c r="A434" s="1"/>
    </row>
    <row r="435" spans="1:1" x14ac:dyDescent="0.2">
      <c r="A435" s="1"/>
    </row>
    <row r="436" spans="1:1" x14ac:dyDescent="0.2">
      <c r="A436" s="1"/>
    </row>
    <row r="437" spans="1:1" x14ac:dyDescent="0.2">
      <c r="A437" s="1"/>
    </row>
    <row r="438" spans="1:1" x14ac:dyDescent="0.2">
      <c r="A438" s="1"/>
    </row>
    <row r="439" spans="1:1" x14ac:dyDescent="0.2">
      <c r="A439" s="1"/>
    </row>
  </sheetData>
  <mergeCells count="2">
    <mergeCell ref="B325:C325"/>
    <mergeCell ref="D325:E325"/>
  </mergeCells>
  <pageMargins left="0.7" right="0.7" top="0.75" bottom="0.75" header="0.3" footer="0.3"/>
  <pageSetup paperSize="9" scale="88" orientation="portrait" horizontalDpi="0" verticalDpi="0"/>
  <rowBreaks count="2" manualBreakCount="2">
    <brk id="345" max="7" man="1"/>
    <brk id="400" max="7" man="1"/>
  </rowBreaks>
  <colBreaks count="1" manualBreakCount="1">
    <brk id="8" max="1048575" man="1"/>
  </colBreaks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8D0765-D0ED-6044-9312-39F457BBE897}">
  <dimension ref="A1:J316"/>
  <sheetViews>
    <sheetView rightToLeft="1" topLeftCell="A82" zoomScale="180" workbookViewId="0">
      <selection activeCell="A182" sqref="A182"/>
    </sheetView>
  </sheetViews>
  <sheetFormatPr baseColWidth="10" defaultRowHeight="16" x14ac:dyDescent="0.2"/>
  <cols>
    <col min="1" max="16384" width="10.83203125" style="1"/>
  </cols>
  <sheetData>
    <row r="1" spans="1:8" x14ac:dyDescent="0.2">
      <c r="A1" s="61" t="s">
        <v>2135</v>
      </c>
      <c r="B1" s="2"/>
      <c r="C1" s="2"/>
      <c r="D1" s="2"/>
      <c r="E1" s="2"/>
      <c r="F1" s="2"/>
      <c r="G1" s="2"/>
      <c r="H1" s="3">
        <v>45630</v>
      </c>
    </row>
    <row r="3" spans="1:8" x14ac:dyDescent="0.2">
      <c r="A3" s="297" t="s">
        <v>2136</v>
      </c>
      <c r="B3" s="59"/>
      <c r="C3" s="59"/>
      <c r="D3" s="59"/>
      <c r="E3" s="59"/>
      <c r="F3" s="59"/>
      <c r="G3" s="59"/>
      <c r="H3" s="59"/>
    </row>
    <row r="4" spans="1:8" ht="17" thickBot="1" x14ac:dyDescent="0.25"/>
    <row r="5" spans="1:8" ht="17" thickBot="1" x14ac:dyDescent="0.25">
      <c r="A5" s="296" t="s">
        <v>2137</v>
      </c>
      <c r="B5" s="6"/>
      <c r="C5" s="6"/>
      <c r="D5" s="6"/>
      <c r="E5" s="6"/>
      <c r="F5" s="6"/>
      <c r="G5" s="6"/>
      <c r="H5" s="7"/>
    </row>
    <row r="6" spans="1:8" x14ac:dyDescent="0.2">
      <c r="A6" s="1" t="s">
        <v>2138</v>
      </c>
    </row>
    <row r="7" spans="1:8" x14ac:dyDescent="0.2">
      <c r="A7" s="1" t="s">
        <v>2139</v>
      </c>
    </row>
    <row r="8" spans="1:8" ht="17" thickBot="1" x14ac:dyDescent="0.25"/>
    <row r="9" spans="1:8" ht="17" thickBot="1" x14ac:dyDescent="0.25">
      <c r="A9" s="296" t="s">
        <v>2140</v>
      </c>
      <c r="B9" s="6"/>
      <c r="C9" s="6"/>
      <c r="D9" s="6"/>
      <c r="E9" s="6"/>
      <c r="F9" s="6"/>
      <c r="G9" s="6"/>
      <c r="H9" s="7"/>
    </row>
    <row r="10" spans="1:8" x14ac:dyDescent="0.2">
      <c r="A10" s="1" t="s">
        <v>2141</v>
      </c>
    </row>
    <row r="11" spans="1:8" x14ac:dyDescent="0.2">
      <c r="A11" s="1" t="s">
        <v>2142</v>
      </c>
    </row>
    <row r="12" spans="1:8" x14ac:dyDescent="0.2">
      <c r="A12" s="1" t="s">
        <v>2143</v>
      </c>
    </row>
    <row r="13" spans="1:8" x14ac:dyDescent="0.2">
      <c r="A13" s="1" t="s">
        <v>2144</v>
      </c>
    </row>
    <row r="14" spans="1:8" x14ac:dyDescent="0.2">
      <c r="A14" s="1" t="s">
        <v>2145</v>
      </c>
    </row>
    <row r="15" spans="1:8" x14ac:dyDescent="0.2">
      <c r="A15" s="1" t="s">
        <v>2146</v>
      </c>
    </row>
    <row r="16" spans="1:8" ht="17" thickBot="1" x14ac:dyDescent="0.25"/>
    <row r="17" spans="1:8" ht="17" thickBot="1" x14ac:dyDescent="0.25">
      <c r="A17" s="296" t="s">
        <v>2147</v>
      </c>
      <c r="B17" s="6"/>
      <c r="C17" s="6"/>
      <c r="D17" s="6"/>
      <c r="E17" s="6"/>
      <c r="F17" s="6"/>
      <c r="G17" s="6"/>
      <c r="H17" s="7"/>
    </row>
    <row r="18" spans="1:8" x14ac:dyDescent="0.2">
      <c r="A18" s="1" t="s">
        <v>2148</v>
      </c>
    </row>
    <row r="19" spans="1:8" x14ac:dyDescent="0.2">
      <c r="A19" s="1" t="s">
        <v>2149</v>
      </c>
    </row>
    <row r="20" spans="1:8" x14ac:dyDescent="0.2">
      <c r="A20" s="1" t="s">
        <v>2150</v>
      </c>
    </row>
    <row r="21" spans="1:8" x14ac:dyDescent="0.2">
      <c r="A21" s="1" t="s">
        <v>2151</v>
      </c>
    </row>
    <row r="22" spans="1:8" x14ac:dyDescent="0.2">
      <c r="A22" s="1" t="s">
        <v>2152</v>
      </c>
    </row>
    <row r="24" spans="1:8" x14ac:dyDescent="0.2">
      <c r="A24" s="1" t="s">
        <v>2163</v>
      </c>
      <c r="E24" s="21" t="s">
        <v>2164</v>
      </c>
      <c r="F24" s="1" t="s">
        <v>2165</v>
      </c>
    </row>
    <row r="25" spans="1:8" x14ac:dyDescent="0.2">
      <c r="A25" s="1" t="s">
        <v>2166</v>
      </c>
    </row>
    <row r="33" spans="1:8" ht="17" thickBot="1" x14ac:dyDescent="0.25"/>
    <row r="34" spans="1:8" ht="17" thickBot="1" x14ac:dyDescent="0.25">
      <c r="A34" s="296" t="s">
        <v>2153</v>
      </c>
      <c r="B34" s="6"/>
      <c r="C34" s="6"/>
      <c r="D34" s="6"/>
      <c r="E34" s="6"/>
      <c r="F34" s="6"/>
      <c r="G34" s="6"/>
      <c r="H34" s="7"/>
    </row>
    <row r="35" spans="1:8" x14ac:dyDescent="0.2">
      <c r="A35" s="1" t="s">
        <v>2154</v>
      </c>
    </row>
    <row r="36" spans="1:8" x14ac:dyDescent="0.2">
      <c r="A36" s="1" t="s">
        <v>2155</v>
      </c>
    </row>
    <row r="37" spans="1:8" x14ac:dyDescent="0.2">
      <c r="A37" s="1" t="s">
        <v>2156</v>
      </c>
    </row>
    <row r="38" spans="1:8" x14ac:dyDescent="0.2">
      <c r="A38" s="1" t="s">
        <v>2157</v>
      </c>
    </row>
    <row r="39" spans="1:8" x14ac:dyDescent="0.2">
      <c r="A39" s="1" t="s">
        <v>2158</v>
      </c>
    </row>
    <row r="41" spans="1:8" x14ac:dyDescent="0.2">
      <c r="A41" s="1" t="s">
        <v>2159</v>
      </c>
    </row>
    <row r="42" spans="1:8" x14ac:dyDescent="0.2">
      <c r="A42" s="1" t="s">
        <v>2160</v>
      </c>
    </row>
    <row r="44" spans="1:8" x14ac:dyDescent="0.2">
      <c r="A44" s="1" t="s">
        <v>2161</v>
      </c>
    </row>
    <row r="45" spans="1:8" x14ac:dyDescent="0.2">
      <c r="A45" s="1" t="s">
        <v>2162</v>
      </c>
    </row>
    <row r="47" spans="1:8" x14ac:dyDescent="0.2">
      <c r="A47" s="297" t="s">
        <v>2167</v>
      </c>
      <c r="B47" s="59"/>
      <c r="C47" s="59"/>
      <c r="D47" s="59"/>
      <c r="E47" s="59"/>
      <c r="F47" s="59"/>
      <c r="G47" s="59"/>
      <c r="H47" s="59"/>
    </row>
    <row r="48" spans="1:8" x14ac:dyDescent="0.2">
      <c r="A48" s="298" t="s">
        <v>2110</v>
      </c>
    </row>
    <row r="50" spans="1:1" x14ac:dyDescent="0.2">
      <c r="A50" s="1" t="s">
        <v>909</v>
      </c>
    </row>
    <row r="51" spans="1:1" x14ac:dyDescent="0.2">
      <c r="A51" s="1" t="s">
        <v>910</v>
      </c>
    </row>
    <row r="52" spans="1:1" x14ac:dyDescent="0.2">
      <c r="A52" s="1" t="s">
        <v>911</v>
      </c>
    </row>
    <row r="54" spans="1:1" x14ac:dyDescent="0.2">
      <c r="A54" s="1" t="s">
        <v>2168</v>
      </c>
    </row>
    <row r="55" spans="1:1" x14ac:dyDescent="0.2">
      <c r="A55" s="1" t="s">
        <v>912</v>
      </c>
    </row>
    <row r="57" spans="1:1" x14ac:dyDescent="0.2">
      <c r="A57" s="1" t="s">
        <v>913</v>
      </c>
    </row>
    <row r="59" spans="1:1" x14ac:dyDescent="0.2">
      <c r="A59" s="4" t="s">
        <v>2169</v>
      </c>
    </row>
    <row r="61" spans="1:1" x14ac:dyDescent="0.2">
      <c r="A61" s="1" t="s">
        <v>914</v>
      </c>
    </row>
    <row r="62" spans="1:1" x14ac:dyDescent="0.2">
      <c r="A62" s="1" t="s">
        <v>915</v>
      </c>
    </row>
    <row r="63" spans="1:1" x14ac:dyDescent="0.2">
      <c r="A63" s="1" t="s">
        <v>2170</v>
      </c>
    </row>
    <row r="65" spans="1:9" x14ac:dyDescent="0.2">
      <c r="A65" s="1" t="s">
        <v>2171</v>
      </c>
    </row>
    <row r="67" spans="1:9" x14ac:dyDescent="0.2">
      <c r="A67" s="1" t="s">
        <v>916</v>
      </c>
    </row>
    <row r="69" spans="1:9" x14ac:dyDescent="0.2">
      <c r="A69" s="139" t="s">
        <v>917</v>
      </c>
      <c r="B69" s="139"/>
      <c r="C69" s="139"/>
      <c r="D69" s="139"/>
      <c r="E69" s="139"/>
      <c r="F69" s="139"/>
      <c r="G69" s="139"/>
      <c r="H69" s="139"/>
      <c r="I69" s="139"/>
    </row>
    <row r="70" spans="1:9" x14ac:dyDescent="0.2">
      <c r="A70" s="1" t="s">
        <v>922</v>
      </c>
    </row>
    <row r="71" spans="1:9" x14ac:dyDescent="0.2">
      <c r="A71" s="1" t="s">
        <v>918</v>
      </c>
    </row>
    <row r="72" spans="1:9" x14ac:dyDescent="0.2">
      <c r="A72" s="1" t="s">
        <v>919</v>
      </c>
    </row>
    <row r="73" spans="1:9" x14ac:dyDescent="0.2">
      <c r="A73" s="1" t="s">
        <v>920</v>
      </c>
    </row>
    <row r="75" spans="1:9" x14ac:dyDescent="0.2">
      <c r="A75" s="4" t="s">
        <v>78</v>
      </c>
    </row>
    <row r="77" spans="1:9" x14ac:dyDescent="0.2">
      <c r="A77" s="1" t="s">
        <v>2172</v>
      </c>
    </row>
    <row r="78" spans="1:9" x14ac:dyDescent="0.2">
      <c r="A78" s="1" t="s">
        <v>2173</v>
      </c>
    </row>
    <row r="80" spans="1:9" x14ac:dyDescent="0.2">
      <c r="A80" s="1" t="s">
        <v>2176</v>
      </c>
      <c r="E80" s="21"/>
    </row>
    <row r="81" spans="1:9" x14ac:dyDescent="0.2">
      <c r="A81" s="1" t="s">
        <v>2177</v>
      </c>
      <c r="E81" s="21" t="s">
        <v>940</v>
      </c>
    </row>
    <row r="82" spans="1:9" x14ac:dyDescent="0.2">
      <c r="A82" s="1" t="s">
        <v>2178</v>
      </c>
      <c r="C82" s="1" t="s">
        <v>2175</v>
      </c>
    </row>
    <row r="83" spans="1:9" x14ac:dyDescent="0.2">
      <c r="A83" s="1" t="s">
        <v>2179</v>
      </c>
    </row>
    <row r="84" spans="1:9" x14ac:dyDescent="0.2">
      <c r="A84" s="1" t="s">
        <v>2180</v>
      </c>
    </row>
    <row r="85" spans="1:9" x14ac:dyDescent="0.2">
      <c r="A85" s="1" t="s">
        <v>2181</v>
      </c>
      <c r="C85" s="1" t="s">
        <v>940</v>
      </c>
    </row>
    <row r="86" spans="1:9" x14ac:dyDescent="0.2">
      <c r="A86" s="1" t="s">
        <v>2182</v>
      </c>
      <c r="D86" s="21" t="s">
        <v>717</v>
      </c>
      <c r="E86" s="1" t="s">
        <v>2174</v>
      </c>
    </row>
    <row r="87" spans="1:9" x14ac:dyDescent="0.2">
      <c r="A87" s="1" t="s">
        <v>2183</v>
      </c>
      <c r="D87" s="21" t="s">
        <v>246</v>
      </c>
    </row>
    <row r="90" spans="1:9" x14ac:dyDescent="0.2">
      <c r="A90" s="1" t="s">
        <v>2184</v>
      </c>
    </row>
    <row r="94" spans="1:9" x14ac:dyDescent="0.2">
      <c r="A94" s="139" t="s">
        <v>2185</v>
      </c>
      <c r="B94" s="139"/>
      <c r="C94" s="139"/>
      <c r="D94" s="139"/>
      <c r="E94" s="139"/>
      <c r="F94" s="139"/>
      <c r="G94" s="139"/>
      <c r="H94" s="139"/>
      <c r="I94" s="139"/>
    </row>
    <row r="95" spans="1:9" x14ac:dyDescent="0.2">
      <c r="A95" s="1" t="s">
        <v>2186</v>
      </c>
    </row>
    <row r="96" spans="1:9" x14ac:dyDescent="0.2">
      <c r="A96" s="1" t="s">
        <v>2187</v>
      </c>
    </row>
    <row r="100" spans="1:9" x14ac:dyDescent="0.2">
      <c r="A100" s="139" t="s">
        <v>2188</v>
      </c>
      <c r="B100" s="139"/>
      <c r="C100" s="139"/>
      <c r="D100" s="139"/>
      <c r="E100" s="139"/>
      <c r="F100" s="139"/>
      <c r="G100" s="139"/>
      <c r="H100" s="139"/>
      <c r="I100" s="139"/>
    </row>
    <row r="101" spans="1:9" x14ac:dyDescent="0.2">
      <c r="A101" s="1" t="s">
        <v>2189</v>
      </c>
    </row>
    <row r="102" spans="1:9" x14ac:dyDescent="0.2">
      <c r="A102" s="1" t="s">
        <v>2190</v>
      </c>
    </row>
    <row r="107" spans="1:9" x14ac:dyDescent="0.2">
      <c r="A107" s="139" t="s">
        <v>2191</v>
      </c>
      <c r="B107" s="139"/>
      <c r="C107" s="139"/>
      <c r="D107" s="139"/>
      <c r="E107" s="139"/>
      <c r="F107" s="139"/>
      <c r="G107" s="139"/>
      <c r="H107" s="139"/>
      <c r="I107" s="139"/>
    </row>
    <row r="108" spans="1:9" x14ac:dyDescent="0.2">
      <c r="A108" s="1" t="s">
        <v>2192</v>
      </c>
    </row>
    <row r="109" spans="1:9" x14ac:dyDescent="0.2">
      <c r="A109" s="1" t="s">
        <v>2193</v>
      </c>
    </row>
    <row r="110" spans="1:9" x14ac:dyDescent="0.2">
      <c r="A110" s="1" t="s">
        <v>2194</v>
      </c>
    </row>
    <row r="112" spans="1:9" x14ac:dyDescent="0.2">
      <c r="A112" s="1" t="s">
        <v>2195</v>
      </c>
      <c r="E112" s="1" t="s">
        <v>2199</v>
      </c>
    </row>
    <row r="113" spans="1:10" x14ac:dyDescent="0.2">
      <c r="A113" s="21" t="s">
        <v>247</v>
      </c>
      <c r="B113" s="1" t="s">
        <v>2196</v>
      </c>
    </row>
    <row r="114" spans="1:10" x14ac:dyDescent="0.2">
      <c r="A114" s="21" t="s">
        <v>71</v>
      </c>
      <c r="B114" s="1" t="s">
        <v>2197</v>
      </c>
    </row>
    <row r="115" spans="1:10" x14ac:dyDescent="0.2">
      <c r="A115" s="21" t="s">
        <v>246</v>
      </c>
      <c r="B115" s="1" t="s">
        <v>2198</v>
      </c>
    </row>
    <row r="118" spans="1:10" x14ac:dyDescent="0.2">
      <c r="A118" s="1" t="s">
        <v>2200</v>
      </c>
      <c r="J118" s="1">
        <v>3.3</v>
      </c>
    </row>
    <row r="119" spans="1:10" x14ac:dyDescent="0.2">
      <c r="A119" s="1" t="s">
        <v>2201</v>
      </c>
      <c r="J119" s="1">
        <v>3.9</v>
      </c>
    </row>
    <row r="121" spans="1:10" x14ac:dyDescent="0.2">
      <c r="A121" s="1" t="s">
        <v>2203</v>
      </c>
    </row>
    <row r="122" spans="1:10" x14ac:dyDescent="0.2">
      <c r="A122" s="1" t="s">
        <v>2204</v>
      </c>
    </row>
    <row r="123" spans="1:10" x14ac:dyDescent="0.2">
      <c r="A123" s="1" t="s">
        <v>2205</v>
      </c>
    </row>
    <row r="124" spans="1:10" x14ac:dyDescent="0.2">
      <c r="A124" s="1" t="s">
        <v>2202</v>
      </c>
    </row>
    <row r="131" spans="1:10" x14ac:dyDescent="0.2">
      <c r="A131" s="1" t="s">
        <v>2206</v>
      </c>
    </row>
    <row r="132" spans="1:10" x14ac:dyDescent="0.2">
      <c r="A132" s="1" t="s">
        <v>2207</v>
      </c>
    </row>
    <row r="135" spans="1:10" x14ac:dyDescent="0.2">
      <c r="A135" s="1" t="s">
        <v>921</v>
      </c>
    </row>
    <row r="136" spans="1:10" x14ac:dyDescent="0.2">
      <c r="A136" s="1" t="s">
        <v>923</v>
      </c>
      <c r="H136" s="1" t="s">
        <v>924</v>
      </c>
    </row>
    <row r="137" spans="1:10" x14ac:dyDescent="0.2">
      <c r="A137" s="1" t="s">
        <v>925</v>
      </c>
    </row>
    <row r="138" spans="1:10" x14ac:dyDescent="0.2">
      <c r="G138" s="21">
        <f>4.5-4.37</f>
        <v>0.12999999999999989</v>
      </c>
      <c r="H138" s="1" t="s">
        <v>926</v>
      </c>
      <c r="J138" s="1" t="s">
        <v>934</v>
      </c>
    </row>
    <row r="139" spans="1:10" x14ac:dyDescent="0.2">
      <c r="A139" s="1" t="s">
        <v>928</v>
      </c>
    </row>
    <row r="140" spans="1:10" x14ac:dyDescent="0.2">
      <c r="F140" s="21">
        <f>0.13*10000</f>
        <v>1300</v>
      </c>
      <c r="H140" s="1" t="s">
        <v>927</v>
      </c>
      <c r="J140" s="1" t="s">
        <v>935</v>
      </c>
    </row>
    <row r="141" spans="1:10" x14ac:dyDescent="0.2">
      <c r="A141" s="1" t="s">
        <v>929</v>
      </c>
    </row>
    <row r="142" spans="1:10" x14ac:dyDescent="0.2">
      <c r="H142" s="1" t="s">
        <v>930</v>
      </c>
      <c r="J142" s="1" t="s">
        <v>937</v>
      </c>
    </row>
    <row r="143" spans="1:10" x14ac:dyDescent="0.2">
      <c r="A143" s="1" t="s">
        <v>931</v>
      </c>
    </row>
    <row r="144" spans="1:10" x14ac:dyDescent="0.2">
      <c r="H144" s="1" t="s">
        <v>932</v>
      </c>
    </row>
    <row r="145" spans="1:8" x14ac:dyDescent="0.2">
      <c r="A145" s="1" t="s">
        <v>936</v>
      </c>
    </row>
    <row r="147" spans="1:8" x14ac:dyDescent="0.2">
      <c r="H147" s="1" t="s">
        <v>933</v>
      </c>
    </row>
    <row r="151" spans="1:8" x14ac:dyDescent="0.2">
      <c r="A151" s="1" t="s">
        <v>938</v>
      </c>
    </row>
    <row r="152" spans="1:8" x14ac:dyDescent="0.2">
      <c r="A152" s="1" t="s">
        <v>939</v>
      </c>
    </row>
    <row r="154" spans="1:8" x14ac:dyDescent="0.2">
      <c r="A154" s="4"/>
    </row>
    <row r="168" spans="1:8" x14ac:dyDescent="0.2">
      <c r="A168" s="1" t="s">
        <v>2208</v>
      </c>
    </row>
    <row r="173" spans="1:8" ht="17" thickBot="1" x14ac:dyDescent="0.25"/>
    <row r="174" spans="1:8" ht="17" thickBot="1" x14ac:dyDescent="0.25">
      <c r="A174" s="140" t="s">
        <v>2209</v>
      </c>
      <c r="B174" s="141"/>
      <c r="C174" s="141"/>
      <c r="D174" s="141"/>
      <c r="E174" s="141"/>
      <c r="F174" s="141"/>
      <c r="G174" s="141"/>
      <c r="H174" s="142"/>
    </row>
    <row r="175" spans="1:8" x14ac:dyDescent="0.2">
      <c r="A175" s="1" t="s">
        <v>942</v>
      </c>
    </row>
    <row r="176" spans="1:8" x14ac:dyDescent="0.2">
      <c r="A176" s="1" t="s">
        <v>943</v>
      </c>
    </row>
    <row r="178" spans="1:1" x14ac:dyDescent="0.2">
      <c r="A178" s="1" t="s">
        <v>944</v>
      </c>
    </row>
    <row r="179" spans="1:1" x14ac:dyDescent="0.2">
      <c r="A179" s="1" t="s">
        <v>946</v>
      </c>
    </row>
    <row r="180" spans="1:1" x14ac:dyDescent="0.2">
      <c r="A180" s="1" t="s">
        <v>945</v>
      </c>
    </row>
    <row r="181" spans="1:1" x14ac:dyDescent="0.2">
      <c r="A181" s="1" t="s">
        <v>947</v>
      </c>
    </row>
    <row r="182" spans="1:1" x14ac:dyDescent="0.2">
      <c r="A182" s="1" t="s">
        <v>948</v>
      </c>
    </row>
    <row r="184" spans="1:1" x14ac:dyDescent="0.2">
      <c r="A184" s="4" t="s">
        <v>949</v>
      </c>
    </row>
    <row r="185" spans="1:1" x14ac:dyDescent="0.2">
      <c r="A185" s="1" t="s">
        <v>959</v>
      </c>
    </row>
    <row r="186" spans="1:1" x14ac:dyDescent="0.2">
      <c r="A186" s="1" t="s">
        <v>961</v>
      </c>
    </row>
    <row r="187" spans="1:1" x14ac:dyDescent="0.2">
      <c r="A187" s="1" t="s">
        <v>950</v>
      </c>
    </row>
    <row r="188" spans="1:1" x14ac:dyDescent="0.2">
      <c r="A188" s="1" t="s">
        <v>951</v>
      </c>
    </row>
    <row r="189" spans="1:1" x14ac:dyDescent="0.2">
      <c r="A189" s="1" t="s">
        <v>952</v>
      </c>
    </row>
    <row r="190" spans="1:1" x14ac:dyDescent="0.2">
      <c r="A190" s="1" t="s">
        <v>953</v>
      </c>
    </row>
    <row r="191" spans="1:1" x14ac:dyDescent="0.2">
      <c r="A191" s="1" t="s">
        <v>957</v>
      </c>
    </row>
    <row r="193" spans="1:9" x14ac:dyDescent="0.2">
      <c r="A193" s="1" t="s">
        <v>954</v>
      </c>
      <c r="G193" s="1" t="s">
        <v>955</v>
      </c>
      <c r="H193" s="21" t="s">
        <v>92</v>
      </c>
      <c r="I193" s="21" t="s">
        <v>960</v>
      </c>
    </row>
    <row r="194" spans="1:9" x14ac:dyDescent="0.2">
      <c r="A194" s="1" t="s">
        <v>956</v>
      </c>
      <c r="G194" s="1" t="s">
        <v>958</v>
      </c>
      <c r="H194" s="1" t="s">
        <v>962</v>
      </c>
    </row>
    <row r="196" spans="1:9" x14ac:dyDescent="0.2">
      <c r="A196" s="4" t="s">
        <v>963</v>
      </c>
    </row>
    <row r="197" spans="1:9" x14ac:dyDescent="0.2">
      <c r="A197" s="1" t="s">
        <v>964</v>
      </c>
    </row>
    <row r="198" spans="1:9" x14ac:dyDescent="0.2">
      <c r="A198" s="1" t="s">
        <v>965</v>
      </c>
    </row>
    <row r="199" spans="1:9" x14ac:dyDescent="0.2">
      <c r="G199" s="1" t="s">
        <v>955</v>
      </c>
    </row>
    <row r="200" spans="1:9" x14ac:dyDescent="0.2">
      <c r="G200" s="1" t="s">
        <v>967</v>
      </c>
    </row>
    <row r="202" spans="1:9" x14ac:dyDescent="0.2">
      <c r="A202" s="1" t="s">
        <v>966</v>
      </c>
      <c r="E202" s="1" t="s">
        <v>968</v>
      </c>
    </row>
    <row r="203" spans="1:9" x14ac:dyDescent="0.2">
      <c r="A203" s="1" t="s">
        <v>969</v>
      </c>
      <c r="E203" s="1" t="s">
        <v>970</v>
      </c>
    </row>
    <row r="205" spans="1:9" x14ac:dyDescent="0.2">
      <c r="A205" s="1" t="s">
        <v>971</v>
      </c>
    </row>
    <row r="206" spans="1:9" x14ac:dyDescent="0.2">
      <c r="A206" s="127" t="s">
        <v>973</v>
      </c>
      <c r="E206" s="1" t="s">
        <v>972</v>
      </c>
    </row>
    <row r="207" spans="1:9" x14ac:dyDescent="0.2">
      <c r="A207" s="127" t="s">
        <v>974</v>
      </c>
    </row>
    <row r="208" spans="1:9" x14ac:dyDescent="0.2">
      <c r="C208" s="1" t="s">
        <v>2466</v>
      </c>
    </row>
    <row r="209" spans="1:8" x14ac:dyDescent="0.2">
      <c r="B209" s="1" t="s">
        <v>2467</v>
      </c>
    </row>
    <row r="215" spans="1:8" ht="17" thickBot="1" x14ac:dyDescent="0.25"/>
    <row r="216" spans="1:8" ht="17" thickBot="1" x14ac:dyDescent="0.25">
      <c r="A216" s="15" t="s">
        <v>2210</v>
      </c>
      <c r="B216" s="16"/>
      <c r="C216" s="16"/>
      <c r="D216" s="16"/>
      <c r="E216" s="16"/>
      <c r="F216" s="16"/>
      <c r="G216" s="16"/>
      <c r="H216" s="17"/>
    </row>
    <row r="217" spans="1:8" x14ac:dyDescent="0.2">
      <c r="A217" s="48" t="s">
        <v>310</v>
      </c>
    </row>
    <row r="218" spans="1:8" x14ac:dyDescent="0.2">
      <c r="A218" s="48" t="s">
        <v>311</v>
      </c>
    </row>
    <row r="220" spans="1:8" x14ac:dyDescent="0.2">
      <c r="A220" s="4" t="s">
        <v>78</v>
      </c>
    </row>
    <row r="222" spans="1:8" x14ac:dyDescent="0.2">
      <c r="A222" s="1" t="s">
        <v>312</v>
      </c>
      <c r="C222" s="1" t="s">
        <v>313</v>
      </c>
    </row>
    <row r="223" spans="1:8" x14ac:dyDescent="0.2">
      <c r="A223" s="1" t="s">
        <v>314</v>
      </c>
      <c r="C223" s="1">
        <f>3.8-3.2</f>
        <v>0.59999999999999964</v>
      </c>
    </row>
    <row r="224" spans="1:8" x14ac:dyDescent="0.2">
      <c r="A224" s="1" t="s">
        <v>315</v>
      </c>
      <c r="C224" s="55">
        <v>10000</v>
      </c>
    </row>
    <row r="225" spans="1:8" x14ac:dyDescent="0.2">
      <c r="A225" s="1" t="s">
        <v>316</v>
      </c>
      <c r="C225" s="1">
        <f>C223*C224</f>
        <v>5999.9999999999964</v>
      </c>
    </row>
    <row r="226" spans="1:8" x14ac:dyDescent="0.2">
      <c r="A226" s="1" t="s">
        <v>317</v>
      </c>
      <c r="C226" s="1">
        <v>-2200</v>
      </c>
    </row>
    <row r="227" spans="1:8" x14ac:dyDescent="0.2">
      <c r="A227" s="1" t="s">
        <v>318</v>
      </c>
      <c r="C227" s="1">
        <f>C225+C226</f>
        <v>3799.9999999999964</v>
      </c>
    </row>
    <row r="228" spans="1:8" ht="17" thickBot="1" x14ac:dyDescent="0.25"/>
    <row r="229" spans="1:8" ht="17" thickBot="1" x14ac:dyDescent="0.25">
      <c r="A229" s="15" t="s">
        <v>2211</v>
      </c>
      <c r="B229" s="16"/>
      <c r="C229" s="16"/>
      <c r="D229" s="16"/>
      <c r="E229" s="16"/>
      <c r="F229" s="16"/>
      <c r="G229" s="16"/>
      <c r="H229" s="17"/>
    </row>
    <row r="230" spans="1:8" x14ac:dyDescent="0.2">
      <c r="A230" s="1" t="s">
        <v>303</v>
      </c>
    </row>
    <row r="231" spans="1:8" x14ac:dyDescent="0.2">
      <c r="A231" s="1" t="s">
        <v>304</v>
      </c>
    </row>
    <row r="232" spans="1:8" x14ac:dyDescent="0.2">
      <c r="A232" s="1" t="s">
        <v>306</v>
      </c>
    </row>
    <row r="234" spans="1:8" x14ac:dyDescent="0.2">
      <c r="B234" s="331" t="s">
        <v>308</v>
      </c>
      <c r="C234" s="331"/>
      <c r="D234" s="338" t="s">
        <v>309</v>
      </c>
      <c r="E234" s="338"/>
    </row>
    <row r="235" spans="1:8" ht="49" x14ac:dyDescent="0.2">
      <c r="A235" s="21" t="s">
        <v>71</v>
      </c>
      <c r="B235" s="56" t="s">
        <v>305</v>
      </c>
      <c r="C235" s="56" t="s">
        <v>307</v>
      </c>
      <c r="D235" s="56" t="s">
        <v>305</v>
      </c>
      <c r="E235" s="56" t="s">
        <v>307</v>
      </c>
    </row>
    <row r="236" spans="1:8" x14ac:dyDescent="0.2">
      <c r="A236" s="21">
        <v>2.8</v>
      </c>
      <c r="B236" s="21">
        <f>0*10000</f>
        <v>0</v>
      </c>
      <c r="C236" s="49">
        <f>B236-2000</f>
        <v>-2000</v>
      </c>
      <c r="D236" s="21">
        <f>B236*3</f>
        <v>0</v>
      </c>
      <c r="E236" s="49">
        <f>D236-2000*3</f>
        <v>-6000</v>
      </c>
    </row>
    <row r="237" spans="1:8" x14ac:dyDescent="0.2">
      <c r="A237" s="21">
        <f>A236+0.1</f>
        <v>2.9</v>
      </c>
      <c r="B237" s="21">
        <f t="shared" ref="B237:B242" si="0">0*10000</f>
        <v>0</v>
      </c>
      <c r="C237" s="49">
        <f t="shared" ref="C237:C248" si="1">B237-2000</f>
        <v>-2000</v>
      </c>
      <c r="D237" s="21">
        <f t="shared" ref="D237:D248" si="2">B237*3</f>
        <v>0</v>
      </c>
      <c r="E237" s="49">
        <f t="shared" ref="E237:E248" si="3">D237-2000*3</f>
        <v>-6000</v>
      </c>
    </row>
    <row r="238" spans="1:8" x14ac:dyDescent="0.2">
      <c r="A238" s="21">
        <f t="shared" ref="A238:A248" si="4">A237+0.1</f>
        <v>3</v>
      </c>
      <c r="B238" s="21">
        <f t="shared" si="0"/>
        <v>0</v>
      </c>
      <c r="C238" s="49">
        <f t="shared" si="1"/>
        <v>-2000</v>
      </c>
      <c r="D238" s="21">
        <f t="shared" si="2"/>
        <v>0</v>
      </c>
      <c r="E238" s="49">
        <f t="shared" si="3"/>
        <v>-6000</v>
      </c>
    </row>
    <row r="239" spans="1:8" x14ac:dyDescent="0.2">
      <c r="A239" s="21">
        <f t="shared" si="4"/>
        <v>3.1</v>
      </c>
      <c r="B239" s="21">
        <f t="shared" si="0"/>
        <v>0</v>
      </c>
      <c r="C239" s="49">
        <f t="shared" si="1"/>
        <v>-2000</v>
      </c>
      <c r="D239" s="21">
        <f t="shared" si="2"/>
        <v>0</v>
      </c>
      <c r="E239" s="49">
        <f t="shared" si="3"/>
        <v>-6000</v>
      </c>
    </row>
    <row r="240" spans="1:8" x14ac:dyDescent="0.2">
      <c r="A240" s="21">
        <f t="shared" si="4"/>
        <v>3.2</v>
      </c>
      <c r="B240" s="21">
        <f t="shared" si="0"/>
        <v>0</v>
      </c>
      <c r="C240" s="49">
        <f t="shared" si="1"/>
        <v>-2000</v>
      </c>
      <c r="D240" s="21">
        <f t="shared" si="2"/>
        <v>0</v>
      </c>
      <c r="E240" s="49">
        <f t="shared" si="3"/>
        <v>-6000</v>
      </c>
    </row>
    <row r="241" spans="1:9" x14ac:dyDescent="0.2">
      <c r="A241" s="21">
        <f t="shared" si="4"/>
        <v>3.3000000000000003</v>
      </c>
      <c r="B241" s="21">
        <f t="shared" si="0"/>
        <v>0</v>
      </c>
      <c r="C241" s="49">
        <f t="shared" si="1"/>
        <v>-2000</v>
      </c>
      <c r="D241" s="21">
        <f t="shared" si="2"/>
        <v>0</v>
      </c>
      <c r="E241" s="49">
        <f t="shared" si="3"/>
        <v>-6000</v>
      </c>
    </row>
    <row r="242" spans="1:9" x14ac:dyDescent="0.2">
      <c r="A242" s="21">
        <f t="shared" si="4"/>
        <v>3.4000000000000004</v>
      </c>
      <c r="B242" s="21">
        <f t="shared" si="0"/>
        <v>0</v>
      </c>
      <c r="C242" s="49">
        <f t="shared" si="1"/>
        <v>-2000</v>
      </c>
      <c r="D242" s="21">
        <f t="shared" si="2"/>
        <v>0</v>
      </c>
      <c r="E242" s="49">
        <f t="shared" si="3"/>
        <v>-6000</v>
      </c>
    </row>
    <row r="243" spans="1:9" x14ac:dyDescent="0.2">
      <c r="A243" s="21">
        <f t="shared" si="4"/>
        <v>3.5000000000000004</v>
      </c>
      <c r="B243" s="49">
        <f>(A243-3.4)*10000</f>
        <v>1000.0000000000053</v>
      </c>
      <c r="C243" s="49">
        <f t="shared" si="1"/>
        <v>-999.99999999999466</v>
      </c>
      <c r="D243" s="21">
        <f t="shared" si="2"/>
        <v>3000.0000000000159</v>
      </c>
      <c r="E243" s="49">
        <f t="shared" si="3"/>
        <v>-2999.9999999999841</v>
      </c>
    </row>
    <row r="244" spans="1:9" x14ac:dyDescent="0.2">
      <c r="A244" s="21">
        <f t="shared" si="4"/>
        <v>3.6000000000000005</v>
      </c>
      <c r="B244" s="49">
        <f t="shared" ref="B244:B248" si="5">(A244-3.4)*10000</f>
        <v>2000.0000000000061</v>
      </c>
      <c r="C244" s="49">
        <f t="shared" si="1"/>
        <v>6.1390892369672656E-12</v>
      </c>
      <c r="D244" s="21">
        <f t="shared" si="2"/>
        <v>6000.0000000000182</v>
      </c>
      <c r="E244" s="49">
        <f t="shared" si="3"/>
        <v>1.8189894035458565E-11</v>
      </c>
    </row>
    <row r="245" spans="1:9" x14ac:dyDescent="0.2">
      <c r="A245" s="21">
        <f>A244+0.1</f>
        <v>3.7000000000000006</v>
      </c>
      <c r="B245" s="49">
        <f t="shared" si="5"/>
        <v>3000.0000000000073</v>
      </c>
      <c r="C245" s="49">
        <f t="shared" si="1"/>
        <v>1000.0000000000073</v>
      </c>
      <c r="D245" s="21">
        <f t="shared" si="2"/>
        <v>9000.0000000000218</v>
      </c>
      <c r="E245" s="49">
        <f t="shared" si="3"/>
        <v>3000.0000000000218</v>
      </c>
    </row>
    <row r="246" spans="1:9" x14ac:dyDescent="0.2">
      <c r="A246" s="21">
        <f t="shared" si="4"/>
        <v>3.8000000000000007</v>
      </c>
      <c r="B246" s="49">
        <f t="shared" si="5"/>
        <v>4000.0000000000082</v>
      </c>
      <c r="C246" s="49">
        <f t="shared" si="1"/>
        <v>2000.0000000000082</v>
      </c>
      <c r="D246" s="21">
        <f t="shared" si="2"/>
        <v>12000.000000000025</v>
      </c>
      <c r="E246" s="49">
        <f t="shared" si="3"/>
        <v>6000.0000000000255</v>
      </c>
    </row>
    <row r="247" spans="1:9" x14ac:dyDescent="0.2">
      <c r="A247" s="21">
        <f t="shared" si="4"/>
        <v>3.9000000000000008</v>
      </c>
      <c r="B247" s="49">
        <f t="shared" si="5"/>
        <v>5000.0000000000091</v>
      </c>
      <c r="C247" s="49">
        <f t="shared" si="1"/>
        <v>3000.0000000000091</v>
      </c>
      <c r="D247" s="21">
        <f t="shared" si="2"/>
        <v>15000.000000000027</v>
      </c>
      <c r="E247" s="49">
        <f t="shared" si="3"/>
        <v>9000.0000000000273</v>
      </c>
    </row>
    <row r="248" spans="1:9" x14ac:dyDescent="0.2">
      <c r="A248" s="21">
        <f t="shared" si="4"/>
        <v>4.0000000000000009</v>
      </c>
      <c r="B248" s="49">
        <f t="shared" si="5"/>
        <v>6000.00000000001</v>
      </c>
      <c r="C248" s="49">
        <f t="shared" si="1"/>
        <v>4000.00000000001</v>
      </c>
      <c r="D248" s="21">
        <f t="shared" si="2"/>
        <v>18000.000000000029</v>
      </c>
      <c r="E248" s="49">
        <f t="shared" si="3"/>
        <v>12000.000000000029</v>
      </c>
    </row>
    <row r="249" spans="1:9" ht="17" thickBot="1" x14ac:dyDescent="0.25"/>
    <row r="250" spans="1:9" ht="17" thickBot="1" x14ac:dyDescent="0.25">
      <c r="A250" s="147" t="s">
        <v>1034</v>
      </c>
      <c r="B250" s="51"/>
      <c r="C250" s="51"/>
      <c r="D250" s="51"/>
      <c r="E250" s="51"/>
      <c r="F250" s="51"/>
      <c r="G250" s="146"/>
      <c r="H250" s="148"/>
      <c r="I250" s="53"/>
    </row>
    <row r="252" spans="1:9" x14ac:dyDescent="0.2">
      <c r="A252" s="1" t="s">
        <v>1029</v>
      </c>
    </row>
    <row r="253" spans="1:9" x14ac:dyDescent="0.2">
      <c r="A253" s="1" t="s">
        <v>1030</v>
      </c>
    </row>
    <row r="254" spans="1:9" x14ac:dyDescent="0.2">
      <c r="A254" s="1" t="s">
        <v>1031</v>
      </c>
    </row>
    <row r="255" spans="1:9" x14ac:dyDescent="0.2">
      <c r="A255" s="1" t="s">
        <v>1032</v>
      </c>
    </row>
    <row r="257" spans="1:9" x14ac:dyDescent="0.2">
      <c r="A257" s="4" t="s">
        <v>1033</v>
      </c>
    </row>
    <row r="259" spans="1:9" x14ac:dyDescent="0.2">
      <c r="A259" s="21" t="s">
        <v>71</v>
      </c>
      <c r="B259" s="21" t="s">
        <v>262</v>
      </c>
    </row>
    <row r="260" spans="1:9" x14ac:dyDescent="0.2">
      <c r="A260" s="21">
        <v>0</v>
      </c>
      <c r="B260" s="21">
        <f>(40-0)*100-500</f>
        <v>3500</v>
      </c>
    </row>
    <row r="261" spans="1:9" x14ac:dyDescent="0.2">
      <c r="A261" s="21">
        <f>A260+10</f>
        <v>10</v>
      </c>
      <c r="B261" s="21">
        <f>(40-10)*100-500</f>
        <v>2500</v>
      </c>
    </row>
    <row r="262" spans="1:9" x14ac:dyDescent="0.2">
      <c r="A262" s="21">
        <f t="shared" ref="A262:A270" si="6">A261+10</f>
        <v>20</v>
      </c>
      <c r="B262" s="21">
        <f>(40-20)*100-500</f>
        <v>1500</v>
      </c>
    </row>
    <row r="263" spans="1:9" x14ac:dyDescent="0.2">
      <c r="A263" s="21">
        <f t="shared" si="6"/>
        <v>30</v>
      </c>
      <c r="B263" s="21">
        <f>(40-30)*100-500</f>
        <v>500</v>
      </c>
    </row>
    <row r="264" spans="1:9" x14ac:dyDescent="0.2">
      <c r="A264" s="21">
        <f t="shared" si="6"/>
        <v>40</v>
      </c>
      <c r="B264" s="21">
        <v>-500</v>
      </c>
    </row>
    <row r="265" spans="1:9" x14ac:dyDescent="0.2">
      <c r="A265" s="21">
        <f t="shared" si="6"/>
        <v>50</v>
      </c>
      <c r="B265" s="21">
        <f>B264</f>
        <v>-500</v>
      </c>
    </row>
    <row r="266" spans="1:9" x14ac:dyDescent="0.2">
      <c r="A266" s="21">
        <f t="shared" si="6"/>
        <v>60</v>
      </c>
      <c r="B266" s="21">
        <f t="shared" ref="B266:B270" si="7">B265</f>
        <v>-500</v>
      </c>
    </row>
    <row r="267" spans="1:9" x14ac:dyDescent="0.2">
      <c r="A267" s="21">
        <f t="shared" si="6"/>
        <v>70</v>
      </c>
      <c r="B267" s="21">
        <f t="shared" si="7"/>
        <v>-500</v>
      </c>
    </row>
    <row r="268" spans="1:9" x14ac:dyDescent="0.2">
      <c r="A268" s="21">
        <f t="shared" si="6"/>
        <v>80</v>
      </c>
      <c r="B268" s="21">
        <f t="shared" si="7"/>
        <v>-500</v>
      </c>
    </row>
    <row r="269" spans="1:9" x14ac:dyDescent="0.2">
      <c r="A269" s="21">
        <f t="shared" si="6"/>
        <v>90</v>
      </c>
      <c r="B269" s="21">
        <f t="shared" si="7"/>
        <v>-500</v>
      </c>
    </row>
    <row r="270" spans="1:9" x14ac:dyDescent="0.2">
      <c r="A270" s="21">
        <f t="shared" si="6"/>
        <v>100</v>
      </c>
      <c r="B270" s="21">
        <f t="shared" si="7"/>
        <v>-500</v>
      </c>
    </row>
    <row r="271" spans="1:9" ht="17" thickBot="1" x14ac:dyDescent="0.25"/>
    <row r="272" spans="1:9" ht="17" thickBot="1" x14ac:dyDescent="0.25">
      <c r="A272" s="147" t="s">
        <v>2212</v>
      </c>
      <c r="B272" s="51"/>
      <c r="C272" s="51"/>
      <c r="D272" s="51"/>
      <c r="E272" s="51"/>
      <c r="F272" s="51"/>
      <c r="G272" s="146"/>
      <c r="H272" s="148"/>
      <c r="I272" s="53"/>
    </row>
    <row r="274" spans="1:8" x14ac:dyDescent="0.2">
      <c r="A274" s="1" t="s">
        <v>1036</v>
      </c>
    </row>
    <row r="275" spans="1:8" x14ac:dyDescent="0.2">
      <c r="A275" s="1" t="s">
        <v>1035</v>
      </c>
    </row>
    <row r="276" spans="1:8" x14ac:dyDescent="0.2">
      <c r="A276" s="1" t="s">
        <v>1037</v>
      </c>
    </row>
    <row r="277" spans="1:8" x14ac:dyDescent="0.2">
      <c r="A277" s="1" t="s">
        <v>1038</v>
      </c>
    </row>
    <row r="278" spans="1:8" x14ac:dyDescent="0.2">
      <c r="A278" s="1" t="s">
        <v>1039</v>
      </c>
    </row>
    <row r="279" spans="1:8" x14ac:dyDescent="0.2">
      <c r="A279" s="1" t="s">
        <v>1040</v>
      </c>
    </row>
    <row r="281" spans="1:8" x14ac:dyDescent="0.2">
      <c r="A281" s="1" t="s">
        <v>78</v>
      </c>
      <c r="B281" s="1" t="s">
        <v>1164</v>
      </c>
      <c r="C281" s="1" t="s">
        <v>1165</v>
      </c>
    </row>
    <row r="282" spans="1:8" x14ac:dyDescent="0.2">
      <c r="A282" s="1" t="s">
        <v>1041</v>
      </c>
      <c r="B282" s="1">
        <v>-500</v>
      </c>
      <c r="C282" s="1">
        <f>B282*3</f>
        <v>-1500</v>
      </c>
    </row>
    <row r="283" spans="1:8" x14ac:dyDescent="0.2">
      <c r="A283" s="1" t="s">
        <v>784</v>
      </c>
      <c r="B283" s="1">
        <v>-500</v>
      </c>
      <c r="C283" s="1">
        <f>B283*3</f>
        <v>-1500</v>
      </c>
    </row>
    <row r="284" spans="1:8" x14ac:dyDescent="0.2">
      <c r="A284" s="1" t="s">
        <v>1042</v>
      </c>
      <c r="B284" s="1">
        <f>(1000-200)*100-500</f>
        <v>79500</v>
      </c>
      <c r="C284" s="1">
        <f>B284*3</f>
        <v>238500</v>
      </c>
    </row>
    <row r="285" spans="1:8" ht="17" thickBot="1" x14ac:dyDescent="0.25"/>
    <row r="286" spans="1:8" ht="17" thickBot="1" x14ac:dyDescent="0.25">
      <c r="A286" s="15" t="s">
        <v>2213</v>
      </c>
      <c r="B286" s="16"/>
      <c r="C286" s="16"/>
      <c r="D286" s="16"/>
      <c r="E286" s="16"/>
      <c r="F286" s="16"/>
      <c r="G286" s="16"/>
      <c r="H286" s="17"/>
    </row>
    <row r="288" spans="1:8" x14ac:dyDescent="0.2">
      <c r="A288" s="1" t="s">
        <v>255</v>
      </c>
    </row>
    <row r="289" spans="1:6" x14ac:dyDescent="0.2">
      <c r="A289" s="1" t="s">
        <v>256</v>
      </c>
    </row>
    <row r="290" spans="1:6" x14ac:dyDescent="0.2">
      <c r="A290" s="1" t="s">
        <v>257</v>
      </c>
    </row>
    <row r="291" spans="1:6" x14ac:dyDescent="0.2">
      <c r="A291" s="1" t="s">
        <v>258</v>
      </c>
      <c r="F291" s="1" t="s">
        <v>273</v>
      </c>
    </row>
    <row r="292" spans="1:6" x14ac:dyDescent="0.2">
      <c r="A292" s="1" t="s">
        <v>259</v>
      </c>
    </row>
    <row r="293" spans="1:6" x14ac:dyDescent="0.2">
      <c r="A293" s="1" t="s">
        <v>260</v>
      </c>
    </row>
    <row r="294" spans="1:6" x14ac:dyDescent="0.2">
      <c r="A294" s="1" t="s">
        <v>261</v>
      </c>
    </row>
    <row r="296" spans="1:6" x14ac:dyDescent="0.2">
      <c r="A296" s="1" t="s">
        <v>266</v>
      </c>
    </row>
    <row r="297" spans="1:6" x14ac:dyDescent="0.2">
      <c r="A297" s="1" t="s">
        <v>267</v>
      </c>
    </row>
    <row r="299" spans="1:6" x14ac:dyDescent="0.2">
      <c r="A299" s="1" t="s">
        <v>268</v>
      </c>
    </row>
    <row r="300" spans="1:6" x14ac:dyDescent="0.2">
      <c r="A300" s="1" t="s">
        <v>270</v>
      </c>
    </row>
    <row r="301" spans="1:6" x14ac:dyDescent="0.2">
      <c r="A301" s="1" t="s">
        <v>269</v>
      </c>
    </row>
    <row r="302" spans="1:6" x14ac:dyDescent="0.2">
      <c r="A302" s="1" t="s">
        <v>271</v>
      </c>
    </row>
    <row r="303" spans="1:6" x14ac:dyDescent="0.2">
      <c r="A303" s="1" t="s">
        <v>272</v>
      </c>
    </row>
    <row r="304" spans="1:6" ht="17" thickBot="1" x14ac:dyDescent="0.25"/>
    <row r="305" spans="1:8" ht="17" thickBot="1" x14ac:dyDescent="0.25">
      <c r="A305" s="15" t="s">
        <v>2214</v>
      </c>
      <c r="B305" s="16"/>
      <c r="C305" s="16"/>
      <c r="D305" s="16"/>
      <c r="E305" s="16"/>
      <c r="F305" s="16"/>
      <c r="G305" s="16"/>
      <c r="H305" s="17"/>
    </row>
    <row r="306" spans="1:8" x14ac:dyDescent="0.2">
      <c r="A306" s="48" t="s">
        <v>255</v>
      </c>
    </row>
    <row r="307" spans="1:8" x14ac:dyDescent="0.2">
      <c r="A307" s="48" t="s">
        <v>274</v>
      </c>
    </row>
    <row r="309" spans="1:8" x14ac:dyDescent="0.2">
      <c r="A309" s="1" t="s">
        <v>275</v>
      </c>
      <c r="C309" s="21">
        <v>3.8</v>
      </c>
      <c r="D309" s="21" t="s">
        <v>276</v>
      </c>
    </row>
    <row r="310" spans="1:8" x14ac:dyDescent="0.2">
      <c r="A310" s="1" t="s">
        <v>275</v>
      </c>
      <c r="C310" s="21">
        <v>3.7</v>
      </c>
      <c r="D310" s="21" t="s">
        <v>277</v>
      </c>
    </row>
    <row r="311" spans="1:8" x14ac:dyDescent="0.2">
      <c r="A311" s="1" t="s">
        <v>278</v>
      </c>
      <c r="C311" s="21" t="s">
        <v>279</v>
      </c>
    </row>
    <row r="312" spans="1:8" x14ac:dyDescent="0.2">
      <c r="A312" s="1" t="s">
        <v>280</v>
      </c>
      <c r="C312" s="21" t="s">
        <v>284</v>
      </c>
    </row>
    <row r="313" spans="1:8" x14ac:dyDescent="0.2">
      <c r="A313" s="1" t="s">
        <v>281</v>
      </c>
      <c r="C313" s="21">
        <v>0.1</v>
      </c>
      <c r="D313" s="21" t="s">
        <v>285</v>
      </c>
    </row>
    <row r="314" spans="1:8" x14ac:dyDescent="0.2">
      <c r="A314" s="1" t="s">
        <v>282</v>
      </c>
      <c r="C314" s="49">
        <v>10000</v>
      </c>
    </row>
    <row r="315" spans="1:8" x14ac:dyDescent="0.2">
      <c r="A315" s="1" t="s">
        <v>287</v>
      </c>
      <c r="C315" s="49">
        <f>C314*C313</f>
        <v>1000</v>
      </c>
      <c r="D315" s="1" t="s">
        <v>286</v>
      </c>
    </row>
    <row r="316" spans="1:8" x14ac:dyDescent="0.2">
      <c r="A316" s="1" t="s">
        <v>283</v>
      </c>
      <c r="C316" s="49">
        <v>-500</v>
      </c>
      <c r="D316" s="1" t="s">
        <v>288</v>
      </c>
    </row>
  </sheetData>
  <mergeCells count="2">
    <mergeCell ref="B234:C234"/>
    <mergeCell ref="D234:E234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0D1D58-00B8-9D4B-9D2A-D7FADE5BBDF0}">
  <dimension ref="A1:L147"/>
  <sheetViews>
    <sheetView rightToLeft="1" topLeftCell="A67" zoomScale="253" workbookViewId="0">
      <selection activeCell="F69" sqref="F69"/>
    </sheetView>
  </sheetViews>
  <sheetFormatPr baseColWidth="10" defaultRowHeight="16" x14ac:dyDescent="0.2"/>
  <cols>
    <col min="1" max="16384" width="10.83203125" style="1"/>
  </cols>
  <sheetData>
    <row r="1" spans="1:12" x14ac:dyDescent="0.2">
      <c r="A1" s="2" t="s">
        <v>2218</v>
      </c>
      <c r="B1" s="2"/>
      <c r="C1" s="2"/>
      <c r="D1" s="2"/>
      <c r="E1" s="2"/>
      <c r="F1" s="2"/>
      <c r="G1" s="2"/>
      <c r="H1" s="3">
        <v>45637</v>
      </c>
    </row>
    <row r="2" spans="1:12" ht="17" thickBot="1" x14ac:dyDescent="0.25"/>
    <row r="3" spans="1:12" ht="17" thickBot="1" x14ac:dyDescent="0.25">
      <c r="A3" s="5" t="s">
        <v>2219</v>
      </c>
      <c r="B3" s="8"/>
      <c r="C3" s="8"/>
      <c r="D3" s="8"/>
      <c r="E3" s="8"/>
      <c r="F3" s="8"/>
      <c r="G3" s="8"/>
      <c r="H3" s="9"/>
    </row>
    <row r="5" spans="1:12" x14ac:dyDescent="0.2">
      <c r="A5" s="1" t="s">
        <v>2221</v>
      </c>
      <c r="B5" s="1" t="s">
        <v>2222</v>
      </c>
    </row>
    <row r="6" spans="1:12" x14ac:dyDescent="0.2">
      <c r="B6" s="1" t="s">
        <v>2223</v>
      </c>
    </row>
    <row r="7" spans="1:12" x14ac:dyDescent="0.2">
      <c r="B7" s="1" t="s">
        <v>2224</v>
      </c>
    </row>
    <row r="8" spans="1:12" x14ac:dyDescent="0.2">
      <c r="B8" s="1" t="s">
        <v>2225</v>
      </c>
    </row>
    <row r="9" spans="1:12" ht="17" thickBot="1" x14ac:dyDescent="0.25"/>
    <row r="10" spans="1:12" ht="17" thickBot="1" x14ac:dyDescent="0.25">
      <c r="A10" s="5" t="s">
        <v>2226</v>
      </c>
      <c r="B10" s="8"/>
      <c r="C10" s="8"/>
      <c r="D10" s="8"/>
      <c r="E10" s="8"/>
      <c r="F10" s="8"/>
      <c r="G10" s="8"/>
      <c r="H10" s="9"/>
      <c r="L10" s="13"/>
    </row>
    <row r="11" spans="1:12" x14ac:dyDescent="0.2">
      <c r="L11" s="13" t="s">
        <v>2468</v>
      </c>
    </row>
    <row r="12" spans="1:12" x14ac:dyDescent="0.2">
      <c r="A12" s="1" t="s">
        <v>641</v>
      </c>
      <c r="B12" s="1" t="s">
        <v>2227</v>
      </c>
      <c r="I12" s="334" t="s">
        <v>2229</v>
      </c>
      <c r="L12" s="13" t="s">
        <v>2469</v>
      </c>
    </row>
    <row r="13" spans="1:12" x14ac:dyDescent="0.2">
      <c r="A13" s="1" t="s">
        <v>643</v>
      </c>
      <c r="B13" s="1" t="s">
        <v>2228</v>
      </c>
      <c r="I13" s="334"/>
      <c r="L13" s="13" t="s">
        <v>2470</v>
      </c>
    </row>
    <row r="14" spans="1:12" x14ac:dyDescent="0.2">
      <c r="A14" s="1" t="s">
        <v>645</v>
      </c>
      <c r="B14" s="1" t="s">
        <v>2231</v>
      </c>
      <c r="L14" s="13" t="s">
        <v>2471</v>
      </c>
    </row>
    <row r="15" spans="1:12" x14ac:dyDescent="0.2">
      <c r="A15" s="1" t="s">
        <v>647</v>
      </c>
      <c r="B15" s="1" t="s">
        <v>2230</v>
      </c>
      <c r="J15" s="1" t="s">
        <v>2232</v>
      </c>
      <c r="L15" s="13" t="s">
        <v>2472</v>
      </c>
    </row>
    <row r="16" spans="1:12" x14ac:dyDescent="0.2">
      <c r="A16" s="1" t="s">
        <v>648</v>
      </c>
      <c r="B16" s="1" t="s">
        <v>2220</v>
      </c>
      <c r="L16" s="13"/>
    </row>
    <row r="17" spans="1:8" ht="17" thickBot="1" x14ac:dyDescent="0.25"/>
    <row r="18" spans="1:8" ht="17" thickBot="1" x14ac:dyDescent="0.25">
      <c r="A18" s="5" t="s">
        <v>2233</v>
      </c>
      <c r="B18" s="8"/>
      <c r="C18" s="8"/>
      <c r="D18" s="8"/>
      <c r="E18" s="8"/>
      <c r="F18" s="8"/>
      <c r="G18" s="8"/>
      <c r="H18" s="9"/>
    </row>
    <row r="20" spans="1:8" x14ac:dyDescent="0.2">
      <c r="A20" s="139" t="s">
        <v>2242</v>
      </c>
      <c r="B20" s="139"/>
      <c r="C20" s="139"/>
      <c r="D20" s="139"/>
      <c r="E20" s="139"/>
      <c r="F20" s="139"/>
      <c r="G20" s="139"/>
      <c r="H20" s="139"/>
    </row>
    <row r="21" spans="1:8" x14ac:dyDescent="0.2">
      <c r="A21" s="1" t="s">
        <v>2234</v>
      </c>
    </row>
    <row r="22" spans="1:8" x14ac:dyDescent="0.2">
      <c r="A22" s="1" t="s">
        <v>2235</v>
      </c>
    </row>
    <row r="23" spans="1:8" x14ac:dyDescent="0.2">
      <c r="A23" s="1" t="s">
        <v>2236</v>
      </c>
    </row>
    <row r="24" spans="1:8" x14ac:dyDescent="0.2">
      <c r="A24" s="1" t="s">
        <v>2237</v>
      </c>
    </row>
    <row r="26" spans="1:8" x14ac:dyDescent="0.2">
      <c r="A26" s="1" t="s">
        <v>78</v>
      </c>
    </row>
    <row r="28" spans="1:8" x14ac:dyDescent="0.2">
      <c r="A28" s="1" t="s">
        <v>2238</v>
      </c>
    </row>
    <row r="36" spans="1:8" x14ac:dyDescent="0.2">
      <c r="A36" s="1" t="s">
        <v>2239</v>
      </c>
    </row>
    <row r="37" spans="1:8" x14ac:dyDescent="0.2">
      <c r="A37" s="1" t="s">
        <v>2241</v>
      </c>
      <c r="F37" s="1" t="s">
        <v>2240</v>
      </c>
    </row>
    <row r="39" spans="1:8" x14ac:dyDescent="0.2">
      <c r="A39" s="139" t="s">
        <v>2243</v>
      </c>
      <c r="B39" s="139"/>
      <c r="C39" s="139"/>
      <c r="D39" s="139"/>
      <c r="E39" s="139"/>
      <c r="F39" s="139"/>
      <c r="G39" s="139"/>
      <c r="H39" s="139"/>
    </row>
    <row r="40" spans="1:8" x14ac:dyDescent="0.2">
      <c r="A40" s="1" t="s">
        <v>2244</v>
      </c>
    </row>
    <row r="41" spans="1:8" x14ac:dyDescent="0.2">
      <c r="A41" s="1" t="s">
        <v>2245</v>
      </c>
    </row>
    <row r="42" spans="1:8" x14ac:dyDescent="0.2">
      <c r="A42" s="1" t="s">
        <v>2246</v>
      </c>
    </row>
    <row r="44" spans="1:8" x14ac:dyDescent="0.2">
      <c r="A44" s="1" t="s">
        <v>78</v>
      </c>
    </row>
    <row r="48" spans="1:8" x14ac:dyDescent="0.2">
      <c r="A48" s="1" t="s">
        <v>2247</v>
      </c>
    </row>
    <row r="49" spans="1:8" x14ac:dyDescent="0.2">
      <c r="A49" s="1" t="s">
        <v>2248</v>
      </c>
    </row>
    <row r="50" spans="1:8" x14ac:dyDescent="0.2">
      <c r="A50" s="1" t="s">
        <v>2249</v>
      </c>
    </row>
    <row r="51" spans="1:8" x14ac:dyDescent="0.2">
      <c r="A51" s="1" t="s">
        <v>2250</v>
      </c>
    </row>
    <row r="53" spans="1:8" x14ac:dyDescent="0.2">
      <c r="A53" s="1" t="s">
        <v>2254</v>
      </c>
      <c r="F53" s="1" t="s">
        <v>2251</v>
      </c>
    </row>
    <row r="54" spans="1:8" x14ac:dyDescent="0.2">
      <c r="A54" s="1" t="s">
        <v>2256</v>
      </c>
      <c r="F54" s="1" t="s">
        <v>2252</v>
      </c>
    </row>
    <row r="55" spans="1:8" x14ac:dyDescent="0.2">
      <c r="A55" s="1" t="s">
        <v>2255</v>
      </c>
      <c r="F55" s="4" t="s">
        <v>2253</v>
      </c>
    </row>
    <row r="57" spans="1:8" x14ac:dyDescent="0.2">
      <c r="A57" s="139" t="s">
        <v>2257</v>
      </c>
      <c r="B57" s="139"/>
      <c r="C57" s="139"/>
      <c r="D57" s="139"/>
      <c r="E57" s="139"/>
      <c r="F57" s="139"/>
      <c r="G57" s="139"/>
      <c r="H57" s="139"/>
    </row>
    <row r="58" spans="1:8" x14ac:dyDescent="0.2">
      <c r="A58" s="1" t="s">
        <v>2258</v>
      </c>
    </row>
    <row r="59" spans="1:8" x14ac:dyDescent="0.2">
      <c r="A59" s="1" t="s">
        <v>2259</v>
      </c>
    </row>
    <row r="60" spans="1:8" x14ac:dyDescent="0.2">
      <c r="A60" s="1" t="s">
        <v>2260</v>
      </c>
    </row>
    <row r="61" spans="1:8" x14ac:dyDescent="0.2">
      <c r="A61" s="1" t="s">
        <v>2261</v>
      </c>
    </row>
    <row r="63" spans="1:8" x14ac:dyDescent="0.2">
      <c r="A63" s="1" t="s">
        <v>2271</v>
      </c>
    </row>
    <row r="66" spans="1:9" x14ac:dyDescent="0.2">
      <c r="A66" s="1" t="s">
        <v>2272</v>
      </c>
    </row>
    <row r="67" spans="1:9" ht="17" thickBot="1" x14ac:dyDescent="0.25"/>
    <row r="68" spans="1:9" x14ac:dyDescent="0.2">
      <c r="A68" s="97" t="s">
        <v>2270</v>
      </c>
      <c r="B68" s="39"/>
      <c r="C68" s="39"/>
      <c r="D68" s="40"/>
      <c r="F68" s="97" t="s">
        <v>2262</v>
      </c>
      <c r="G68" s="39"/>
      <c r="H68" s="39"/>
      <c r="I68" s="40"/>
    </row>
    <row r="69" spans="1:9" ht="17" thickBot="1" x14ac:dyDescent="0.25">
      <c r="A69" s="43"/>
      <c r="B69" s="44"/>
      <c r="C69" s="44"/>
      <c r="D69" s="45"/>
      <c r="F69" s="43" t="s">
        <v>2263</v>
      </c>
      <c r="G69" s="44"/>
      <c r="H69" s="44"/>
      <c r="I69" s="45"/>
    </row>
    <row r="73" spans="1:9" x14ac:dyDescent="0.2">
      <c r="A73" s="1" t="s">
        <v>2264</v>
      </c>
    </row>
    <row r="74" spans="1:9" x14ac:dyDescent="0.2">
      <c r="A74" s="1" t="s">
        <v>2265</v>
      </c>
    </row>
    <row r="75" spans="1:9" x14ac:dyDescent="0.2">
      <c r="A75" s="1" t="s">
        <v>2266</v>
      </c>
    </row>
    <row r="76" spans="1:9" x14ac:dyDescent="0.2">
      <c r="A76" s="1" t="s">
        <v>2267</v>
      </c>
    </row>
    <row r="77" spans="1:9" x14ac:dyDescent="0.2">
      <c r="A77" s="1" t="s">
        <v>2268</v>
      </c>
    </row>
    <row r="78" spans="1:9" x14ac:dyDescent="0.2">
      <c r="A78" s="1" t="s">
        <v>2269</v>
      </c>
    </row>
    <row r="82" spans="3:10" x14ac:dyDescent="0.2">
      <c r="F82" s="1" t="s">
        <v>2276</v>
      </c>
      <c r="J82" s="1" t="s">
        <v>2273</v>
      </c>
    </row>
    <row r="83" spans="3:10" x14ac:dyDescent="0.2">
      <c r="F83" s="1" t="s">
        <v>2277</v>
      </c>
      <c r="J83" s="1" t="s">
        <v>2274</v>
      </c>
    </row>
    <row r="84" spans="3:10" x14ac:dyDescent="0.2">
      <c r="F84" s="1" t="s">
        <v>2278</v>
      </c>
      <c r="J84" s="1" t="s">
        <v>2275</v>
      </c>
    </row>
    <row r="86" spans="3:10" x14ac:dyDescent="0.2">
      <c r="C86" s="1" t="s">
        <v>2279</v>
      </c>
    </row>
    <row r="89" spans="3:10" x14ac:dyDescent="0.2">
      <c r="C89" s="1" t="s">
        <v>2280</v>
      </c>
    </row>
    <row r="92" spans="3:10" x14ac:dyDescent="0.2">
      <c r="C92" s="1" t="s">
        <v>2281</v>
      </c>
    </row>
    <row r="101" spans="1:6" x14ac:dyDescent="0.2">
      <c r="A101" s="1" t="s">
        <v>2282</v>
      </c>
    </row>
    <row r="103" spans="1:6" x14ac:dyDescent="0.2">
      <c r="F103" s="1" t="s">
        <v>2283</v>
      </c>
    </row>
    <row r="104" spans="1:6" x14ac:dyDescent="0.2">
      <c r="F104" s="1" t="s">
        <v>2284</v>
      </c>
    </row>
    <row r="105" spans="1:6" x14ac:dyDescent="0.2">
      <c r="F105" s="1" t="s">
        <v>2285</v>
      </c>
    </row>
    <row r="106" spans="1:6" x14ac:dyDescent="0.2">
      <c r="F106" s="1" t="s">
        <v>2286</v>
      </c>
    </row>
    <row r="114" spans="1:8" x14ac:dyDescent="0.2">
      <c r="A114" s="2" t="s">
        <v>2287</v>
      </c>
      <c r="B114" s="57"/>
      <c r="C114" s="57"/>
      <c r="D114" s="57"/>
      <c r="E114" s="57"/>
      <c r="F114" s="57"/>
      <c r="G114" s="57"/>
      <c r="H114" s="57"/>
    </row>
    <row r="115" spans="1:8" x14ac:dyDescent="0.2">
      <c r="A115" s="1" t="s">
        <v>2288</v>
      </c>
    </row>
    <row r="116" spans="1:8" x14ac:dyDescent="0.2">
      <c r="A116" s="1" t="s">
        <v>2289</v>
      </c>
    </row>
    <row r="119" spans="1:8" x14ac:dyDescent="0.2">
      <c r="A119" s="1" t="s">
        <v>2290</v>
      </c>
    </row>
    <row r="121" spans="1:8" x14ac:dyDescent="0.2">
      <c r="A121" s="1" t="s">
        <v>2291</v>
      </c>
    </row>
    <row r="123" spans="1:8" x14ac:dyDescent="0.2">
      <c r="A123" s="59" t="s">
        <v>2292</v>
      </c>
      <c r="B123" s="59"/>
      <c r="C123" s="59"/>
      <c r="D123" s="59"/>
      <c r="E123" s="59"/>
      <c r="F123" s="59"/>
      <c r="G123" s="59"/>
      <c r="H123" s="59"/>
    </row>
    <row r="124" spans="1:8" x14ac:dyDescent="0.2">
      <c r="A124" s="1" t="s">
        <v>2293</v>
      </c>
    </row>
    <row r="125" spans="1:8" x14ac:dyDescent="0.2">
      <c r="A125" s="1" t="s">
        <v>2294</v>
      </c>
    </row>
    <row r="126" spans="1:8" x14ac:dyDescent="0.2">
      <c r="A126" s="1" t="s">
        <v>2295</v>
      </c>
    </row>
    <row r="128" spans="1:8" x14ac:dyDescent="0.2">
      <c r="A128" s="1" t="s">
        <v>78</v>
      </c>
    </row>
    <row r="130" spans="1:1" x14ac:dyDescent="0.2">
      <c r="A130" s="1" t="s">
        <v>2296</v>
      </c>
    </row>
    <row r="131" spans="1:1" x14ac:dyDescent="0.2">
      <c r="A131" s="1" t="s">
        <v>2297</v>
      </c>
    </row>
    <row r="132" spans="1:1" x14ac:dyDescent="0.2">
      <c r="A132" s="1" t="s">
        <v>2301</v>
      </c>
    </row>
    <row r="133" spans="1:1" x14ac:dyDescent="0.2">
      <c r="A133" s="1" t="s">
        <v>2302</v>
      </c>
    </row>
    <row r="134" spans="1:1" x14ac:dyDescent="0.2">
      <c r="A134" s="1" t="s">
        <v>2303</v>
      </c>
    </row>
    <row r="135" spans="1:1" x14ac:dyDescent="0.2">
      <c r="A135" s="1" t="s">
        <v>2304</v>
      </c>
    </row>
    <row r="136" spans="1:1" x14ac:dyDescent="0.2">
      <c r="A136" s="1" t="s">
        <v>2298</v>
      </c>
    </row>
    <row r="139" spans="1:1" x14ac:dyDescent="0.2">
      <c r="A139" s="1" t="s">
        <v>2299</v>
      </c>
    </row>
    <row r="147" spans="1:1" x14ac:dyDescent="0.2">
      <c r="A147" s="1" t="s">
        <v>2300</v>
      </c>
    </row>
  </sheetData>
  <mergeCells count="1">
    <mergeCell ref="I12:I13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22D332-5BFC-6244-B0A9-9FAA6D81ED3B}">
  <dimension ref="A1:P626"/>
  <sheetViews>
    <sheetView rightToLeft="1" topLeftCell="A157" zoomScale="276" zoomScaleNormal="300" zoomScaleSheetLayoutView="207" workbookViewId="0">
      <selection activeCell="F76" sqref="F76:J76"/>
    </sheetView>
  </sheetViews>
  <sheetFormatPr baseColWidth="10" defaultRowHeight="16" x14ac:dyDescent="0.2"/>
  <cols>
    <col min="1" max="1" width="10.83203125" style="62"/>
    <col min="2" max="2" width="11.83203125" style="1" customWidth="1"/>
    <col min="3" max="3" width="13.33203125" style="1" customWidth="1"/>
    <col min="4" max="4" width="12.33203125" style="1" customWidth="1"/>
    <col min="5" max="5" width="12.6640625" style="1" customWidth="1"/>
    <col min="6" max="16384" width="10.83203125" style="1"/>
  </cols>
  <sheetData>
    <row r="1" spans="1:8" x14ac:dyDescent="0.2">
      <c r="A1" s="61" t="s">
        <v>2313</v>
      </c>
      <c r="B1" s="2"/>
      <c r="C1" s="2"/>
      <c r="D1" s="2"/>
      <c r="E1" s="2"/>
      <c r="F1" s="2"/>
      <c r="G1" s="2"/>
      <c r="H1" s="3">
        <v>45644</v>
      </c>
    </row>
    <row r="2" spans="1:8" ht="17" thickBot="1" x14ac:dyDescent="0.25"/>
    <row r="3" spans="1:8" ht="23" x14ac:dyDescent="0.25">
      <c r="A3" s="154" t="s">
        <v>1062</v>
      </c>
      <c r="B3" s="66"/>
      <c r="C3" s="66"/>
      <c r="D3" s="66"/>
      <c r="E3" s="66"/>
      <c r="F3" s="66"/>
      <c r="G3" s="66"/>
      <c r="H3" s="67"/>
    </row>
    <row r="4" spans="1:8" x14ac:dyDescent="0.2">
      <c r="A4" s="64" t="s">
        <v>324</v>
      </c>
      <c r="H4" s="42"/>
    </row>
    <row r="5" spans="1:8" x14ac:dyDescent="0.2">
      <c r="A5" s="64" t="s">
        <v>325</v>
      </c>
      <c r="H5" s="42"/>
    </row>
    <row r="6" spans="1:8" ht="17" thickBot="1" x14ac:dyDescent="0.25">
      <c r="A6" s="64" t="s">
        <v>326</v>
      </c>
      <c r="H6" s="42"/>
    </row>
    <row r="7" spans="1:8" x14ac:dyDescent="0.2">
      <c r="A7" s="69" t="s">
        <v>327</v>
      </c>
      <c r="B7" s="39"/>
      <c r="C7" s="39"/>
      <c r="D7" s="39"/>
      <c r="E7" s="39"/>
      <c r="F7" s="39"/>
      <c r="G7" s="39"/>
      <c r="H7" s="40"/>
    </row>
    <row r="8" spans="1:8" x14ac:dyDescent="0.2">
      <c r="A8" s="64" t="s">
        <v>328</v>
      </c>
      <c r="E8" s="68"/>
      <c r="H8" s="42"/>
    </row>
    <row r="9" spans="1:8" ht="17" thickBot="1" x14ac:dyDescent="0.25">
      <c r="A9" s="65" t="s">
        <v>329</v>
      </c>
      <c r="B9" s="44"/>
      <c r="C9" s="44"/>
      <c r="D9" s="44"/>
      <c r="E9" s="309"/>
      <c r="F9" s="44"/>
      <c r="G9" s="44"/>
      <c r="H9" s="45"/>
    </row>
    <row r="10" spans="1:8" x14ac:dyDescent="0.2">
      <c r="A10" s="64" t="s">
        <v>2314</v>
      </c>
      <c r="E10" s="68"/>
      <c r="H10" s="42"/>
    </row>
    <row r="11" spans="1:8" x14ac:dyDescent="0.2">
      <c r="A11" s="64" t="s">
        <v>330</v>
      </c>
      <c r="H11" s="42"/>
    </row>
    <row r="12" spans="1:8" x14ac:dyDescent="0.2">
      <c r="A12" s="64" t="s">
        <v>331</v>
      </c>
      <c r="H12" s="42"/>
    </row>
    <row r="13" spans="1:8" x14ac:dyDescent="0.2">
      <c r="A13" s="64" t="s">
        <v>332</v>
      </c>
      <c r="H13" s="42"/>
    </row>
    <row r="14" spans="1:8" x14ac:dyDescent="0.2">
      <c r="A14" s="64" t="s">
        <v>333</v>
      </c>
      <c r="H14" s="42"/>
    </row>
    <row r="15" spans="1:8" x14ac:dyDescent="0.2">
      <c r="A15" s="64" t="s">
        <v>334</v>
      </c>
      <c r="H15" s="42"/>
    </row>
    <row r="16" spans="1:8" ht="17" thickBot="1" x14ac:dyDescent="0.25">
      <c r="A16" s="65" t="s">
        <v>335</v>
      </c>
      <c r="B16" s="44"/>
      <c r="C16" s="44"/>
      <c r="D16" s="44"/>
      <c r="E16" s="44"/>
      <c r="F16" s="44"/>
      <c r="G16" s="44"/>
      <c r="H16" s="45"/>
    </row>
    <row r="17" spans="1:8" ht="17" thickBot="1" x14ac:dyDescent="0.25"/>
    <row r="18" spans="1:8" x14ac:dyDescent="0.2">
      <c r="A18" s="69" t="s">
        <v>336</v>
      </c>
      <c r="B18" s="39"/>
      <c r="C18" s="39"/>
      <c r="D18" s="39"/>
      <c r="E18" s="39"/>
      <c r="F18" s="39"/>
      <c r="G18" s="39"/>
      <c r="H18" s="40"/>
    </row>
    <row r="19" spans="1:8" x14ac:dyDescent="0.2">
      <c r="A19" s="76" t="s">
        <v>337</v>
      </c>
      <c r="B19" s="38" t="s">
        <v>338</v>
      </c>
      <c r="C19" s="38"/>
      <c r="D19" s="38" t="s">
        <v>339</v>
      </c>
      <c r="E19" s="38"/>
      <c r="F19" s="38" t="s">
        <v>340</v>
      </c>
      <c r="G19" s="38"/>
      <c r="H19" s="77"/>
    </row>
    <row r="20" spans="1:8" x14ac:dyDescent="0.2">
      <c r="A20" s="64">
        <v>1</v>
      </c>
      <c r="B20" s="1" t="s">
        <v>341</v>
      </c>
      <c r="E20" s="1" t="s">
        <v>342</v>
      </c>
      <c r="F20" s="1" t="s">
        <v>343</v>
      </c>
      <c r="H20" s="42"/>
    </row>
    <row r="21" spans="1:8" x14ac:dyDescent="0.2">
      <c r="A21" s="64">
        <v>2</v>
      </c>
      <c r="B21" s="1" t="s">
        <v>344</v>
      </c>
      <c r="E21" s="1" t="s">
        <v>345</v>
      </c>
      <c r="F21" s="1" t="s">
        <v>346</v>
      </c>
      <c r="H21" s="42"/>
    </row>
    <row r="22" spans="1:8" x14ac:dyDescent="0.2">
      <c r="A22" s="64">
        <v>3</v>
      </c>
      <c r="B22" s="1" t="s">
        <v>347</v>
      </c>
      <c r="E22" s="1" t="s">
        <v>348</v>
      </c>
      <c r="F22" s="1" t="s">
        <v>349</v>
      </c>
      <c r="H22" s="42"/>
    </row>
    <row r="23" spans="1:8" x14ac:dyDescent="0.2">
      <c r="A23" s="64">
        <v>4</v>
      </c>
      <c r="B23" s="1" t="s">
        <v>350</v>
      </c>
      <c r="E23" s="1" t="s">
        <v>351</v>
      </c>
      <c r="F23" s="1" t="s">
        <v>352</v>
      </c>
      <c r="H23" s="42"/>
    </row>
    <row r="24" spans="1:8" x14ac:dyDescent="0.2">
      <c r="A24" s="64">
        <v>5</v>
      </c>
      <c r="B24" s="1" t="s">
        <v>353</v>
      </c>
      <c r="E24" s="1" t="s">
        <v>354</v>
      </c>
      <c r="F24" s="1" t="s">
        <v>355</v>
      </c>
      <c r="H24" s="42"/>
    </row>
    <row r="25" spans="1:8" x14ac:dyDescent="0.2">
      <c r="A25" s="64">
        <v>6</v>
      </c>
      <c r="E25" s="1" t="s">
        <v>411</v>
      </c>
      <c r="F25" s="1" t="s">
        <v>412</v>
      </c>
      <c r="H25" s="42"/>
    </row>
    <row r="26" spans="1:8" x14ac:dyDescent="0.2">
      <c r="A26" s="64">
        <v>7</v>
      </c>
      <c r="E26" s="1" t="s">
        <v>413</v>
      </c>
      <c r="F26" s="1" t="s">
        <v>414</v>
      </c>
      <c r="H26" s="42"/>
    </row>
    <row r="27" spans="1:8" x14ac:dyDescent="0.2">
      <c r="A27" s="64">
        <v>8</v>
      </c>
      <c r="E27" s="1" t="s">
        <v>415</v>
      </c>
      <c r="F27" s="1" t="s">
        <v>414</v>
      </c>
      <c r="H27" s="42"/>
    </row>
    <row r="28" spans="1:8" x14ac:dyDescent="0.2">
      <c r="A28" s="64">
        <v>9</v>
      </c>
      <c r="E28" s="1" t="s">
        <v>416</v>
      </c>
      <c r="F28" s="1" t="s">
        <v>418</v>
      </c>
      <c r="H28" s="42"/>
    </row>
    <row r="29" spans="1:8" x14ac:dyDescent="0.2">
      <c r="A29" s="64">
        <v>10</v>
      </c>
      <c r="E29" s="1" t="s">
        <v>417</v>
      </c>
      <c r="F29" s="1" t="s">
        <v>418</v>
      </c>
      <c r="H29" s="42"/>
    </row>
    <row r="30" spans="1:8" x14ac:dyDescent="0.2">
      <c r="A30" s="64"/>
      <c r="H30" s="42"/>
    </row>
    <row r="31" spans="1:8" x14ac:dyDescent="0.2">
      <c r="A31" s="64" t="s">
        <v>356</v>
      </c>
      <c r="H31" s="42"/>
    </row>
    <row r="32" spans="1:8" x14ac:dyDescent="0.2">
      <c r="A32" s="64" t="s">
        <v>357</v>
      </c>
      <c r="H32" s="42"/>
    </row>
    <row r="33" spans="1:9" x14ac:dyDescent="0.2">
      <c r="A33" s="64" t="s">
        <v>358</v>
      </c>
      <c r="H33" s="42"/>
    </row>
    <row r="34" spans="1:9" ht="17" thickBot="1" x14ac:dyDescent="0.25">
      <c r="A34" s="65" t="s">
        <v>359</v>
      </c>
      <c r="B34" s="44"/>
      <c r="C34" s="44"/>
      <c r="D34" s="44"/>
      <c r="E34" s="44"/>
      <c r="F34" s="44"/>
      <c r="G34" s="44"/>
      <c r="H34" s="45"/>
    </row>
    <row r="35" spans="1:9" ht="17" thickBot="1" x14ac:dyDescent="0.25"/>
    <row r="36" spans="1:9" x14ac:dyDescent="0.2">
      <c r="A36" s="70" t="s">
        <v>1171</v>
      </c>
      <c r="B36" s="71"/>
      <c r="C36" s="71"/>
      <c r="D36" s="71"/>
      <c r="E36" s="71"/>
      <c r="F36" s="71"/>
      <c r="G36" s="71"/>
      <c r="H36" s="72"/>
    </row>
    <row r="37" spans="1:9" x14ac:dyDescent="0.2">
      <c r="A37" s="64"/>
      <c r="H37" s="42"/>
    </row>
    <row r="38" spans="1:9" x14ac:dyDescent="0.2">
      <c r="A38" s="64" t="s">
        <v>360</v>
      </c>
      <c r="B38" s="1" t="s">
        <v>1172</v>
      </c>
      <c r="H38" s="42"/>
    </row>
    <row r="39" spans="1:9" x14ac:dyDescent="0.2">
      <c r="A39" s="64"/>
      <c r="B39" s="1" t="s">
        <v>361</v>
      </c>
      <c r="H39" s="42"/>
    </row>
    <row r="40" spans="1:9" x14ac:dyDescent="0.2">
      <c r="A40" s="64"/>
      <c r="H40" s="42"/>
    </row>
    <row r="41" spans="1:9" x14ac:dyDescent="0.2">
      <c r="A41" s="64" t="s">
        <v>362</v>
      </c>
      <c r="B41" s="1" t="s">
        <v>363</v>
      </c>
      <c r="H41" s="42"/>
    </row>
    <row r="42" spans="1:9" x14ac:dyDescent="0.2">
      <c r="A42" s="64"/>
      <c r="B42" s="1" t="s">
        <v>1173</v>
      </c>
      <c r="H42" s="42"/>
    </row>
    <row r="43" spans="1:9" x14ac:dyDescent="0.2">
      <c r="A43" s="64"/>
      <c r="H43" s="42"/>
    </row>
    <row r="44" spans="1:9" x14ac:dyDescent="0.2">
      <c r="A44" s="64" t="s">
        <v>364</v>
      </c>
      <c r="B44" s="1" t="s">
        <v>367</v>
      </c>
      <c r="H44" s="42"/>
    </row>
    <row r="45" spans="1:9" x14ac:dyDescent="0.2">
      <c r="A45" s="64"/>
      <c r="H45" s="42"/>
    </row>
    <row r="46" spans="1:9" ht="17" thickBot="1" x14ac:dyDescent="0.25">
      <c r="A46" s="65" t="s">
        <v>365</v>
      </c>
      <c r="B46" s="44" t="s">
        <v>366</v>
      </c>
      <c r="C46" s="44"/>
      <c r="D46" s="44"/>
      <c r="E46" s="44"/>
      <c r="F46" s="44"/>
      <c r="G46" s="44"/>
      <c r="H46" s="45"/>
    </row>
    <row r="47" spans="1:9" ht="17" thickBot="1" x14ac:dyDescent="0.25"/>
    <row r="48" spans="1:9" ht="17" thickBot="1" x14ac:dyDescent="0.25">
      <c r="A48" s="234" t="s">
        <v>2315</v>
      </c>
      <c r="B48" s="8"/>
      <c r="C48" s="8"/>
      <c r="D48" s="8"/>
      <c r="E48" s="8"/>
      <c r="F48" s="8"/>
      <c r="G48" s="8"/>
      <c r="H48" s="8"/>
      <c r="I48" s="7"/>
    </row>
    <row r="49" spans="1:9" x14ac:dyDescent="0.2">
      <c r="A49" s="62" t="s">
        <v>2316</v>
      </c>
    </row>
    <row r="50" spans="1:9" x14ac:dyDescent="0.2">
      <c r="B50" s="1" t="s">
        <v>2317</v>
      </c>
    </row>
    <row r="51" spans="1:9" x14ac:dyDescent="0.2">
      <c r="B51" s="1" t="s">
        <v>2318</v>
      </c>
    </row>
    <row r="52" spans="1:9" x14ac:dyDescent="0.2">
      <c r="A52" s="62" t="s">
        <v>741</v>
      </c>
    </row>
    <row r="53" spans="1:9" x14ac:dyDescent="0.2">
      <c r="A53" s="62" t="s">
        <v>2319</v>
      </c>
    </row>
    <row r="54" spans="1:9" x14ac:dyDescent="0.2">
      <c r="A54" s="62" t="s">
        <v>2320</v>
      </c>
    </row>
    <row r="55" spans="1:9" ht="17" thickBot="1" x14ac:dyDescent="0.25">
      <c r="A55" s="62" t="s">
        <v>2321</v>
      </c>
    </row>
    <row r="56" spans="1:9" ht="17" thickBot="1" x14ac:dyDescent="0.25">
      <c r="F56" s="339" t="s">
        <v>2334</v>
      </c>
      <c r="G56" s="340"/>
      <c r="H56" s="340"/>
      <c r="I56" s="341"/>
    </row>
    <row r="57" spans="1:9" ht="17" thickBot="1" x14ac:dyDescent="0.25">
      <c r="G57" s="219" t="s">
        <v>2324</v>
      </c>
    </row>
    <row r="58" spans="1:9" ht="17" thickBot="1" x14ac:dyDescent="0.25">
      <c r="A58" s="339" t="s">
        <v>2333</v>
      </c>
      <c r="B58" s="340"/>
      <c r="C58" s="340"/>
      <c r="D58" s="341"/>
      <c r="G58" s="219" t="s">
        <v>2325</v>
      </c>
    </row>
    <row r="59" spans="1:9" x14ac:dyDescent="0.2">
      <c r="A59" s="156" t="s">
        <v>1191</v>
      </c>
      <c r="B59" s="21"/>
      <c r="C59" s="21"/>
      <c r="D59" s="21" t="s">
        <v>262</v>
      </c>
      <c r="I59" s="21" t="s">
        <v>262</v>
      </c>
    </row>
    <row r="60" spans="1:9" x14ac:dyDescent="0.2">
      <c r="A60" s="156" t="s">
        <v>1412</v>
      </c>
      <c r="B60" s="21" t="s">
        <v>262</v>
      </c>
      <c r="C60" s="21" t="s">
        <v>262</v>
      </c>
      <c r="D60" s="21" t="s">
        <v>2322</v>
      </c>
      <c r="I60" s="21"/>
    </row>
    <row r="61" spans="1:9" x14ac:dyDescent="0.2">
      <c r="A61" s="157" t="s">
        <v>71</v>
      </c>
      <c r="B61" s="75" t="s">
        <v>369</v>
      </c>
      <c r="C61" s="75" t="s">
        <v>371</v>
      </c>
      <c r="D61" s="75" t="s">
        <v>2323</v>
      </c>
      <c r="I61" s="21"/>
    </row>
    <row r="62" spans="1:9" x14ac:dyDescent="0.2">
      <c r="A62" s="310">
        <v>0</v>
      </c>
      <c r="B62" s="311">
        <v>-10</v>
      </c>
      <c r="C62" s="311">
        <f>50-A62-8</f>
        <v>42</v>
      </c>
      <c r="D62" s="311">
        <f>C62+B62</f>
        <v>32</v>
      </c>
      <c r="I62" s="21"/>
    </row>
    <row r="63" spans="1:9" x14ac:dyDescent="0.2">
      <c r="A63" s="310">
        <f>A62+10</f>
        <v>10</v>
      </c>
      <c r="B63" s="311">
        <v>-10</v>
      </c>
      <c r="C63" s="311">
        <f>50-10-8</f>
        <v>32</v>
      </c>
      <c r="D63" s="311">
        <f t="shared" ref="D63:D72" si="0">C63+B63</f>
        <v>22</v>
      </c>
    </row>
    <row r="64" spans="1:9" x14ac:dyDescent="0.2">
      <c r="A64" s="310">
        <f t="shared" ref="A64:A72" si="1">A63+10</f>
        <v>20</v>
      </c>
      <c r="B64" s="311">
        <v>-10</v>
      </c>
      <c r="C64" s="311">
        <f>50-20-8</f>
        <v>22</v>
      </c>
      <c r="D64" s="311">
        <f t="shared" si="0"/>
        <v>12</v>
      </c>
    </row>
    <row r="65" spans="1:6" x14ac:dyDescent="0.2">
      <c r="A65" s="310">
        <f t="shared" si="1"/>
        <v>30</v>
      </c>
      <c r="B65" s="311">
        <v>-10</v>
      </c>
      <c r="C65" s="311">
        <f>50-A65-8</f>
        <v>12</v>
      </c>
      <c r="D65" s="311">
        <f t="shared" si="0"/>
        <v>2</v>
      </c>
    </row>
    <row r="66" spans="1:6" x14ac:dyDescent="0.2">
      <c r="A66" s="295">
        <f t="shared" si="1"/>
        <v>40</v>
      </c>
      <c r="B66" s="60">
        <v>-10</v>
      </c>
      <c r="C66" s="60">
        <f>50-A66-8</f>
        <v>2</v>
      </c>
      <c r="D66" s="60">
        <f t="shared" si="0"/>
        <v>-8</v>
      </c>
    </row>
    <row r="67" spans="1:6" x14ac:dyDescent="0.2">
      <c r="A67" s="295">
        <f t="shared" si="1"/>
        <v>50</v>
      </c>
      <c r="B67" s="60">
        <v>-10</v>
      </c>
      <c r="C67" s="60">
        <v>-8</v>
      </c>
      <c r="D67" s="60">
        <f t="shared" si="0"/>
        <v>-18</v>
      </c>
    </row>
    <row r="68" spans="1:6" x14ac:dyDescent="0.2">
      <c r="A68" s="295">
        <f t="shared" si="1"/>
        <v>60</v>
      </c>
      <c r="B68" s="60">
        <f>60-50-10</f>
        <v>0</v>
      </c>
      <c r="C68" s="60">
        <v>-8</v>
      </c>
      <c r="D68" s="60">
        <f t="shared" si="0"/>
        <v>-8</v>
      </c>
    </row>
    <row r="69" spans="1:6" x14ac:dyDescent="0.2">
      <c r="A69" s="310">
        <f t="shared" si="1"/>
        <v>70</v>
      </c>
      <c r="B69" s="311">
        <f>70-50-10</f>
        <v>10</v>
      </c>
      <c r="C69" s="311">
        <v>-8</v>
      </c>
      <c r="D69" s="311">
        <f t="shared" si="0"/>
        <v>2</v>
      </c>
      <c r="F69" s="48" t="s">
        <v>71</v>
      </c>
    </row>
    <row r="70" spans="1:6" x14ac:dyDescent="0.2">
      <c r="A70" s="310">
        <f t="shared" si="1"/>
        <v>80</v>
      </c>
      <c r="B70" s="311">
        <f>A70-50-10</f>
        <v>20</v>
      </c>
      <c r="C70" s="311">
        <v>-8</v>
      </c>
      <c r="D70" s="311">
        <f t="shared" si="0"/>
        <v>12</v>
      </c>
    </row>
    <row r="71" spans="1:6" x14ac:dyDescent="0.2">
      <c r="A71" s="310">
        <f>A70+10</f>
        <v>90</v>
      </c>
      <c r="B71" s="311">
        <f t="shared" ref="B71:B72" si="2">A71-50-10</f>
        <v>30</v>
      </c>
      <c r="C71" s="311">
        <v>-8</v>
      </c>
      <c r="D71" s="311">
        <f t="shared" si="0"/>
        <v>22</v>
      </c>
    </row>
    <row r="72" spans="1:6" x14ac:dyDescent="0.2">
      <c r="A72" s="310">
        <f t="shared" si="1"/>
        <v>100</v>
      </c>
      <c r="B72" s="311">
        <f t="shared" si="2"/>
        <v>40</v>
      </c>
      <c r="C72" s="311">
        <v>-8</v>
      </c>
      <c r="D72" s="311">
        <f t="shared" si="0"/>
        <v>32</v>
      </c>
    </row>
    <row r="74" spans="1:6" ht="17" thickBot="1" x14ac:dyDescent="0.25">
      <c r="F74" s="1" t="s">
        <v>2326</v>
      </c>
    </row>
    <row r="75" spans="1:6" ht="17" thickBot="1" x14ac:dyDescent="0.25">
      <c r="A75" s="234" t="s">
        <v>2335</v>
      </c>
      <c r="B75" s="6"/>
      <c r="C75" s="6"/>
      <c r="D75" s="7"/>
      <c r="F75" s="1" t="s">
        <v>2327</v>
      </c>
    </row>
    <row r="76" spans="1:6" x14ac:dyDescent="0.2">
      <c r="A76" s="62" t="s">
        <v>2329</v>
      </c>
      <c r="F76" s="1" t="s">
        <v>2328</v>
      </c>
    </row>
    <row r="77" spans="1:6" x14ac:dyDescent="0.2">
      <c r="A77" s="62" t="s">
        <v>2330</v>
      </c>
    </row>
    <row r="78" spans="1:6" x14ac:dyDescent="0.2">
      <c r="A78" s="62" t="s">
        <v>2331</v>
      </c>
    </row>
    <row r="79" spans="1:6" x14ac:dyDescent="0.2">
      <c r="A79" s="62" t="s">
        <v>2332</v>
      </c>
    </row>
    <row r="80" spans="1:6" ht="17" thickBot="1" x14ac:dyDescent="0.25"/>
    <row r="81" spans="1:11" ht="17" thickBot="1" x14ac:dyDescent="0.25">
      <c r="A81" s="234" t="s">
        <v>2336</v>
      </c>
      <c r="B81" s="6"/>
      <c r="C81" s="6"/>
      <c r="D81" s="6"/>
      <c r="E81" s="6"/>
      <c r="F81" s="6"/>
      <c r="G81" s="6"/>
      <c r="H81" s="6"/>
      <c r="I81" s="7"/>
    </row>
    <row r="82" spans="1:11" x14ac:dyDescent="0.2">
      <c r="A82" s="1"/>
      <c r="B82" s="4"/>
      <c r="C82" s="4"/>
      <c r="D82" s="4"/>
      <c r="E82" s="4"/>
      <c r="I82" s="38" t="s">
        <v>2344</v>
      </c>
      <c r="J82" s="107"/>
      <c r="K82" s="107"/>
    </row>
    <row r="83" spans="1:11" ht="17" thickBot="1" x14ac:dyDescent="0.25">
      <c r="A83" s="62" t="s">
        <v>2337</v>
      </c>
      <c r="I83" s="1" t="s">
        <v>2349</v>
      </c>
    </row>
    <row r="84" spans="1:11" x14ac:dyDescent="0.2">
      <c r="A84" s="62" t="s">
        <v>2338</v>
      </c>
      <c r="E84" s="97"/>
      <c r="F84" s="39"/>
      <c r="G84" s="39"/>
      <c r="H84" s="40"/>
      <c r="I84" s="1" t="s">
        <v>2345</v>
      </c>
    </row>
    <row r="85" spans="1:11" x14ac:dyDescent="0.2">
      <c r="B85" s="1" t="s">
        <v>988</v>
      </c>
      <c r="C85" s="1" t="s">
        <v>2339</v>
      </c>
      <c r="E85" s="41"/>
      <c r="H85" s="42"/>
      <c r="I85" s="1" t="s">
        <v>2346</v>
      </c>
    </row>
    <row r="86" spans="1:11" x14ac:dyDescent="0.2">
      <c r="B86" s="1" t="s">
        <v>987</v>
      </c>
      <c r="C86" s="1" t="s">
        <v>2340</v>
      </c>
      <c r="E86" s="41"/>
      <c r="H86" s="42"/>
      <c r="I86" s="1" t="s">
        <v>2347</v>
      </c>
    </row>
    <row r="87" spans="1:11" x14ac:dyDescent="0.2">
      <c r="A87" s="62" t="s">
        <v>2348</v>
      </c>
      <c r="E87" s="41"/>
      <c r="H87" s="42"/>
      <c r="I87" s="1" t="s">
        <v>2350</v>
      </c>
    </row>
    <row r="88" spans="1:11" x14ac:dyDescent="0.2">
      <c r="A88" s="62" t="s">
        <v>741</v>
      </c>
      <c r="E88" s="41"/>
      <c r="H88" s="42"/>
      <c r="I88" s="1" t="s">
        <v>2351</v>
      </c>
    </row>
    <row r="89" spans="1:11" x14ac:dyDescent="0.2">
      <c r="A89" s="62" t="s">
        <v>2341</v>
      </c>
      <c r="E89" s="41"/>
      <c r="H89" s="42"/>
      <c r="I89" s="1" t="s">
        <v>2352</v>
      </c>
    </row>
    <row r="90" spans="1:11" x14ac:dyDescent="0.2">
      <c r="A90" s="62" t="s">
        <v>2342</v>
      </c>
      <c r="E90" s="41"/>
      <c r="H90" s="42"/>
      <c r="I90" s="1" t="s">
        <v>2347</v>
      </c>
    </row>
    <row r="91" spans="1:11" x14ac:dyDescent="0.2">
      <c r="A91" s="62" t="s">
        <v>2343</v>
      </c>
      <c r="E91" s="41"/>
      <c r="H91" s="42"/>
    </row>
    <row r="92" spans="1:11" ht="17" thickBot="1" x14ac:dyDescent="0.25">
      <c r="E92" s="41"/>
      <c r="H92" s="42"/>
      <c r="I92" s="1" t="s">
        <v>561</v>
      </c>
    </row>
    <row r="93" spans="1:11" x14ac:dyDescent="0.2">
      <c r="A93" s="313" t="s">
        <v>71</v>
      </c>
      <c r="B93" s="252" t="s">
        <v>2361</v>
      </c>
      <c r="C93" s="252" t="s">
        <v>2362</v>
      </c>
      <c r="D93" s="252" t="s">
        <v>381</v>
      </c>
      <c r="E93" s="41"/>
      <c r="H93" s="42"/>
      <c r="I93" s="1" t="s">
        <v>2353</v>
      </c>
    </row>
    <row r="94" spans="1:11" x14ac:dyDescent="0.2">
      <c r="A94" s="211">
        <v>50</v>
      </c>
      <c r="B94" s="21">
        <f>-28</f>
        <v>-28</v>
      </c>
      <c r="C94" s="21">
        <f t="shared" ref="C94:C97" si="3">100-A94-15</f>
        <v>35</v>
      </c>
      <c r="D94" s="21">
        <f>B94+C94</f>
        <v>7</v>
      </c>
      <c r="E94" s="41"/>
      <c r="H94" s="42"/>
      <c r="I94" s="1" t="s">
        <v>2354</v>
      </c>
    </row>
    <row r="95" spans="1:11" x14ac:dyDescent="0.2">
      <c r="A95" s="211">
        <f>A94+10</f>
        <v>60</v>
      </c>
      <c r="B95" s="21">
        <v>-28</v>
      </c>
      <c r="C95" s="21">
        <f t="shared" si="3"/>
        <v>25</v>
      </c>
      <c r="D95" s="21">
        <f t="shared" ref="D95:D104" si="4">B95+C95</f>
        <v>-3</v>
      </c>
      <c r="E95" s="41"/>
      <c r="H95" s="42"/>
      <c r="I95" s="1" t="s">
        <v>2355</v>
      </c>
    </row>
    <row r="96" spans="1:11" x14ac:dyDescent="0.2">
      <c r="A96" s="211">
        <f t="shared" ref="A96:A103" si="5">A95+10</f>
        <v>70</v>
      </c>
      <c r="B96" s="21">
        <v>-28</v>
      </c>
      <c r="C96" s="21">
        <f t="shared" si="3"/>
        <v>15</v>
      </c>
      <c r="D96" s="21">
        <f t="shared" si="4"/>
        <v>-13</v>
      </c>
      <c r="E96" s="41"/>
      <c r="H96" s="42"/>
      <c r="I96" s="1" t="s">
        <v>2356</v>
      </c>
    </row>
    <row r="97" spans="1:11" x14ac:dyDescent="0.2">
      <c r="A97" s="211">
        <f t="shared" si="5"/>
        <v>80</v>
      </c>
      <c r="B97" s="21">
        <v>-28</v>
      </c>
      <c r="C97" s="21">
        <f t="shared" si="3"/>
        <v>5</v>
      </c>
      <c r="D97" s="21">
        <f t="shared" si="4"/>
        <v>-23</v>
      </c>
      <c r="E97" s="41"/>
      <c r="H97" s="42"/>
      <c r="I97" s="1" t="s">
        <v>2357</v>
      </c>
    </row>
    <row r="98" spans="1:11" x14ac:dyDescent="0.2">
      <c r="A98" s="211">
        <f t="shared" si="5"/>
        <v>90</v>
      </c>
      <c r="B98" s="21">
        <v>-28</v>
      </c>
      <c r="C98" s="21">
        <f>100-A98-15</f>
        <v>-5</v>
      </c>
      <c r="D98" s="21">
        <f t="shared" si="4"/>
        <v>-33</v>
      </c>
      <c r="E98" s="41"/>
      <c r="H98" s="42"/>
    </row>
    <row r="99" spans="1:11" x14ac:dyDescent="0.2">
      <c r="A99" s="314">
        <f t="shared" si="5"/>
        <v>100</v>
      </c>
      <c r="B99" s="122">
        <v>-28</v>
      </c>
      <c r="C99" s="122">
        <v>-15</v>
      </c>
      <c r="D99" s="122">
        <f t="shared" si="4"/>
        <v>-43</v>
      </c>
      <c r="E99" s="41"/>
      <c r="H99" s="42"/>
    </row>
    <row r="100" spans="1:11" ht="17" thickBot="1" x14ac:dyDescent="0.25">
      <c r="A100" s="211">
        <f t="shared" si="5"/>
        <v>110</v>
      </c>
      <c r="B100" s="21">
        <f>A100-100-28</f>
        <v>-18</v>
      </c>
      <c r="C100" s="21">
        <v>-15</v>
      </c>
      <c r="D100" s="21">
        <f t="shared" si="4"/>
        <v>-33</v>
      </c>
      <c r="E100" s="43"/>
      <c r="F100" s="44"/>
      <c r="G100" s="44"/>
      <c r="H100" s="45"/>
    </row>
    <row r="101" spans="1:11" x14ac:dyDescent="0.2">
      <c r="A101" s="211">
        <f t="shared" si="5"/>
        <v>120</v>
      </c>
      <c r="B101" s="21">
        <f t="shared" ref="B101:B104" si="6">A101-100-28</f>
        <v>-8</v>
      </c>
      <c r="C101" s="21">
        <v>-15</v>
      </c>
      <c r="D101" s="213">
        <f t="shared" si="4"/>
        <v>-23</v>
      </c>
    </row>
    <row r="102" spans="1:11" x14ac:dyDescent="0.2">
      <c r="A102" s="211">
        <f t="shared" si="5"/>
        <v>130</v>
      </c>
      <c r="B102" s="21">
        <f t="shared" si="6"/>
        <v>2</v>
      </c>
      <c r="C102" s="21">
        <v>-15</v>
      </c>
      <c r="D102" s="213">
        <f t="shared" si="4"/>
        <v>-13</v>
      </c>
      <c r="F102" s="4" t="s">
        <v>2367</v>
      </c>
    </row>
    <row r="103" spans="1:11" x14ac:dyDescent="0.2">
      <c r="A103" s="211">
        <f t="shared" si="5"/>
        <v>140</v>
      </c>
      <c r="B103" s="21">
        <f t="shared" si="6"/>
        <v>12</v>
      </c>
      <c r="C103" s="21">
        <v>-15</v>
      </c>
      <c r="D103" s="213">
        <f t="shared" si="4"/>
        <v>-3</v>
      </c>
      <c r="F103" s="1" t="s">
        <v>2363</v>
      </c>
      <c r="I103" s="21">
        <v>-28</v>
      </c>
    </row>
    <row r="104" spans="1:11" ht="17" thickBot="1" x14ac:dyDescent="0.25">
      <c r="A104" s="315">
        <f>A103+10</f>
        <v>150</v>
      </c>
      <c r="B104" s="253">
        <f t="shared" si="6"/>
        <v>22</v>
      </c>
      <c r="C104" s="253">
        <v>-15</v>
      </c>
      <c r="D104" s="292">
        <f t="shared" si="4"/>
        <v>7</v>
      </c>
      <c r="F104" s="1" t="s">
        <v>2364</v>
      </c>
      <c r="I104" s="21">
        <v>85</v>
      </c>
      <c r="K104" s="1" t="s">
        <v>2365</v>
      </c>
    </row>
    <row r="105" spans="1:11" x14ac:dyDescent="0.2">
      <c r="A105" s="69"/>
      <c r="B105" s="39"/>
      <c r="C105" s="39"/>
      <c r="D105" s="40"/>
      <c r="F105" s="1" t="s">
        <v>2366</v>
      </c>
      <c r="I105" s="226">
        <f>I103+I104</f>
        <v>57</v>
      </c>
    </row>
    <row r="106" spans="1:11" x14ac:dyDescent="0.2">
      <c r="A106" s="95" t="s">
        <v>2371</v>
      </c>
      <c r="D106" s="42"/>
    </row>
    <row r="107" spans="1:11" x14ac:dyDescent="0.2">
      <c r="A107" s="64" t="s">
        <v>2372</v>
      </c>
      <c r="D107" s="42"/>
      <c r="F107" s="1" t="s">
        <v>2368</v>
      </c>
    </row>
    <row r="108" spans="1:11" x14ac:dyDescent="0.2">
      <c r="A108" s="64" t="s">
        <v>2373</v>
      </c>
      <c r="D108" s="42"/>
      <c r="F108" s="1" t="s">
        <v>2369</v>
      </c>
    </row>
    <row r="109" spans="1:11" ht="17" thickBot="1" x14ac:dyDescent="0.25">
      <c r="A109" s="65"/>
      <c r="B109" s="44"/>
      <c r="C109" s="44"/>
      <c r="D109" s="45"/>
      <c r="F109" s="1" t="s">
        <v>2370</v>
      </c>
    </row>
    <row r="112" spans="1:11" ht="21" x14ac:dyDescent="0.25">
      <c r="A112" s="312" t="s">
        <v>2358</v>
      </c>
    </row>
    <row r="116" spans="1:8" ht="17" thickBot="1" x14ac:dyDescent="0.25"/>
    <row r="117" spans="1:8" ht="17" thickBot="1" x14ac:dyDescent="0.25">
      <c r="A117" s="50" t="s">
        <v>2359</v>
      </c>
      <c r="B117" s="51"/>
      <c r="C117" s="51"/>
      <c r="D117" s="51"/>
      <c r="E117" s="51"/>
      <c r="F117" s="51"/>
      <c r="G117" s="51"/>
      <c r="H117" s="52"/>
    </row>
    <row r="119" spans="1:8" x14ac:dyDescent="0.2">
      <c r="A119" s="62" t="s">
        <v>1174</v>
      </c>
    </row>
    <row r="120" spans="1:8" x14ac:dyDescent="0.2">
      <c r="A120" s="62" t="s">
        <v>373</v>
      </c>
    </row>
    <row r="121" spans="1:8" x14ac:dyDescent="0.2">
      <c r="A121" s="62" t="s">
        <v>392</v>
      </c>
    </row>
    <row r="123" spans="1:8" x14ac:dyDescent="0.2">
      <c r="B123" s="21" t="s">
        <v>368</v>
      </c>
      <c r="C123" s="166" t="s">
        <v>1175</v>
      </c>
    </row>
    <row r="124" spans="1:8" x14ac:dyDescent="0.2">
      <c r="B124" s="60" t="s">
        <v>369</v>
      </c>
      <c r="C124" s="60">
        <v>20</v>
      </c>
    </row>
    <row r="125" spans="1:8" x14ac:dyDescent="0.2">
      <c r="B125" s="21" t="s">
        <v>370</v>
      </c>
      <c r="C125" s="21">
        <v>10</v>
      </c>
    </row>
    <row r="126" spans="1:8" x14ac:dyDescent="0.2">
      <c r="B126" s="60" t="s">
        <v>371</v>
      </c>
      <c r="C126" s="60">
        <v>15</v>
      </c>
    </row>
    <row r="127" spans="1:8" x14ac:dyDescent="0.2">
      <c r="B127" s="21" t="s">
        <v>372</v>
      </c>
      <c r="C127" s="21">
        <v>24</v>
      </c>
    </row>
    <row r="129" spans="1:14" x14ac:dyDescent="0.2">
      <c r="A129" s="62" t="s">
        <v>382</v>
      </c>
    </row>
    <row r="130" spans="1:14" x14ac:dyDescent="0.2">
      <c r="A130" s="62" t="s">
        <v>1178</v>
      </c>
    </row>
    <row r="131" spans="1:14" x14ac:dyDescent="0.2">
      <c r="A131" s="62" t="s">
        <v>384</v>
      </c>
      <c r="I131" s="177" t="s">
        <v>1194</v>
      </c>
    </row>
    <row r="132" spans="1:14" ht="17" thickBot="1" x14ac:dyDescent="0.25">
      <c r="I132" s="177" t="s">
        <v>1193</v>
      </c>
    </row>
    <row r="133" spans="1:14" x14ac:dyDescent="0.2">
      <c r="A133" s="63" t="s">
        <v>78</v>
      </c>
      <c r="B133" s="39"/>
      <c r="C133" s="39"/>
      <c r="D133" s="39"/>
      <c r="E133" s="39"/>
      <c r="F133" s="39"/>
      <c r="G133" s="39"/>
      <c r="H133" s="40"/>
      <c r="N133" s="178" t="s">
        <v>239</v>
      </c>
    </row>
    <row r="134" spans="1:14" s="25" customFormat="1" x14ac:dyDescent="0.2">
      <c r="A134" s="78"/>
      <c r="H134" s="27"/>
      <c r="I134" s="143" t="s">
        <v>1197</v>
      </c>
      <c r="N134" s="158" t="s">
        <v>262</v>
      </c>
    </row>
    <row r="135" spans="1:14" s="25" customFormat="1" x14ac:dyDescent="0.2">
      <c r="A135" s="78" t="s">
        <v>419</v>
      </c>
      <c r="H135" s="27"/>
      <c r="I135" s="143" t="s">
        <v>342</v>
      </c>
    </row>
    <row r="136" spans="1:14" s="25" customFormat="1" x14ac:dyDescent="0.2">
      <c r="A136" s="78" t="s">
        <v>375</v>
      </c>
      <c r="H136" s="27"/>
    </row>
    <row r="137" spans="1:14" s="25" customFormat="1" ht="17" thickBot="1" x14ac:dyDescent="0.25">
      <c r="A137" s="78" t="s">
        <v>376</v>
      </c>
      <c r="H137" s="27"/>
    </row>
    <row r="138" spans="1:14" s="25" customFormat="1" x14ac:dyDescent="0.2">
      <c r="A138" s="78" t="s">
        <v>212</v>
      </c>
      <c r="B138" s="32" t="s">
        <v>1176</v>
      </c>
      <c r="C138" s="32" t="s">
        <v>1179</v>
      </c>
      <c r="D138" s="130" t="s">
        <v>1177</v>
      </c>
      <c r="E138" s="167" t="s">
        <v>1180</v>
      </c>
      <c r="F138" s="93" t="s">
        <v>1181</v>
      </c>
      <c r="H138" s="27"/>
    </row>
    <row r="139" spans="1:14" s="25" customFormat="1" x14ac:dyDescent="0.2">
      <c r="A139" s="80" t="s">
        <v>71</v>
      </c>
      <c r="B139" s="81" t="s">
        <v>377</v>
      </c>
      <c r="C139" s="81" t="s">
        <v>378</v>
      </c>
      <c r="D139" s="106" t="s">
        <v>379</v>
      </c>
      <c r="E139" s="168" t="s">
        <v>380</v>
      </c>
      <c r="F139" s="172" t="s">
        <v>381</v>
      </c>
      <c r="H139" s="27"/>
      <c r="I139" s="25" t="s">
        <v>1195</v>
      </c>
      <c r="N139" s="179">
        <v>50</v>
      </c>
    </row>
    <row r="140" spans="1:14" s="25" customFormat="1" ht="17" thickBot="1" x14ac:dyDescent="0.25">
      <c r="A140" s="176">
        <v>0</v>
      </c>
      <c r="B140" s="32">
        <v>0</v>
      </c>
      <c r="C140" s="32">
        <f>50-0</f>
        <v>50</v>
      </c>
      <c r="D140" s="47">
        <f t="shared" ref="D140:D145" si="7">-20</f>
        <v>-20</v>
      </c>
      <c r="E140" s="169">
        <f>50-15</f>
        <v>35</v>
      </c>
      <c r="F140" s="173">
        <f>-20+35</f>
        <v>15</v>
      </c>
      <c r="H140" s="27"/>
      <c r="I140" s="25" t="s">
        <v>1196</v>
      </c>
    </row>
    <row r="141" spans="1:14" s="25" customFormat="1" x14ac:dyDescent="0.2">
      <c r="A141" s="183">
        <f t="shared" ref="A141:A150" si="8">A140+10</f>
        <v>10</v>
      </c>
      <c r="B141" s="32">
        <v>0</v>
      </c>
      <c r="C141" s="32">
        <f>50-10</f>
        <v>40</v>
      </c>
      <c r="D141" s="47">
        <f t="shared" si="7"/>
        <v>-20</v>
      </c>
      <c r="E141" s="169">
        <f>40-15</f>
        <v>25</v>
      </c>
      <c r="F141" s="181">
        <f>-20+25</f>
        <v>5</v>
      </c>
      <c r="H141" s="27"/>
    </row>
    <row r="142" spans="1:14" ht="17" thickBot="1" x14ac:dyDescent="0.25">
      <c r="A142" s="184">
        <f t="shared" si="8"/>
        <v>20</v>
      </c>
      <c r="B142" s="32">
        <v>0</v>
      </c>
      <c r="C142" s="32">
        <f>50-20</f>
        <v>30</v>
      </c>
      <c r="D142" s="47">
        <f t="shared" si="7"/>
        <v>-20</v>
      </c>
      <c r="E142" s="169">
        <f>30-15</f>
        <v>15</v>
      </c>
      <c r="F142" s="182">
        <f>-20+15</f>
        <v>-5</v>
      </c>
      <c r="G142" s="73"/>
      <c r="H142" s="74"/>
    </row>
    <row r="143" spans="1:14" x14ac:dyDescent="0.2">
      <c r="A143" s="180">
        <f t="shared" si="8"/>
        <v>30</v>
      </c>
      <c r="B143" s="32">
        <v>0</v>
      </c>
      <c r="C143" s="32">
        <f>50-30</f>
        <v>20</v>
      </c>
      <c r="D143" s="47">
        <f t="shared" si="7"/>
        <v>-20</v>
      </c>
      <c r="E143" s="169">
        <f t="shared" ref="E143:E150" si="9">C143-15</f>
        <v>5</v>
      </c>
      <c r="F143" s="175">
        <f t="shared" ref="F143:F150" si="10">D143+E143</f>
        <v>-15</v>
      </c>
      <c r="G143" s="73"/>
      <c r="H143" s="74"/>
    </row>
    <row r="144" spans="1:14" x14ac:dyDescent="0.2">
      <c r="A144" s="180">
        <f t="shared" si="8"/>
        <v>40</v>
      </c>
      <c r="B144" s="32">
        <v>0</v>
      </c>
      <c r="C144" s="32">
        <f>50-40</f>
        <v>10</v>
      </c>
      <c r="D144" s="47">
        <f t="shared" si="7"/>
        <v>-20</v>
      </c>
      <c r="E144" s="169">
        <f t="shared" si="9"/>
        <v>-5</v>
      </c>
      <c r="F144" s="175">
        <f t="shared" si="10"/>
        <v>-25</v>
      </c>
      <c r="G144" s="73"/>
      <c r="H144" s="74"/>
    </row>
    <row r="145" spans="1:14" x14ac:dyDescent="0.2">
      <c r="A145" s="180">
        <f t="shared" si="8"/>
        <v>50</v>
      </c>
      <c r="B145" s="32">
        <v>0</v>
      </c>
      <c r="C145" s="32">
        <v>0</v>
      </c>
      <c r="D145" s="47">
        <f t="shared" si="7"/>
        <v>-20</v>
      </c>
      <c r="E145" s="169">
        <f t="shared" si="9"/>
        <v>-15</v>
      </c>
      <c r="F145" s="175">
        <f t="shared" si="10"/>
        <v>-35</v>
      </c>
      <c r="G145" s="73"/>
      <c r="H145" s="74"/>
      <c r="I145" s="1" t="s">
        <v>1191</v>
      </c>
      <c r="M145" s="25"/>
      <c r="N145" s="25"/>
    </row>
    <row r="146" spans="1:14" x14ac:dyDescent="0.2">
      <c r="A146" s="180">
        <f t="shared" si="8"/>
        <v>60</v>
      </c>
      <c r="B146" s="32">
        <f>60-50</f>
        <v>10</v>
      </c>
      <c r="C146" s="32">
        <v>0</v>
      </c>
      <c r="D146" s="47">
        <f>B146-20</f>
        <v>-10</v>
      </c>
      <c r="E146" s="169">
        <f t="shared" si="9"/>
        <v>-15</v>
      </c>
      <c r="F146" s="175">
        <f t="shared" si="10"/>
        <v>-25</v>
      </c>
      <c r="G146" s="73"/>
      <c r="H146" s="74"/>
      <c r="I146" s="1" t="s">
        <v>1192</v>
      </c>
      <c r="M146" s="25"/>
      <c r="N146" s="32">
        <v>0</v>
      </c>
    </row>
    <row r="147" spans="1:14" ht="17" thickBot="1" x14ac:dyDescent="0.25">
      <c r="A147" s="180">
        <f t="shared" si="8"/>
        <v>70</v>
      </c>
      <c r="B147" s="32">
        <f>70-50</f>
        <v>20</v>
      </c>
      <c r="C147" s="32">
        <v>0</v>
      </c>
      <c r="D147" s="47">
        <f>B147-20</f>
        <v>0</v>
      </c>
      <c r="E147" s="169">
        <f t="shared" si="9"/>
        <v>-15</v>
      </c>
      <c r="F147" s="175">
        <f t="shared" si="10"/>
        <v>-15</v>
      </c>
      <c r="G147" s="73"/>
      <c r="H147" s="74"/>
      <c r="K147" s="25">
        <v>85</v>
      </c>
      <c r="L147" s="188">
        <v>50</v>
      </c>
      <c r="M147" s="25"/>
      <c r="N147" s="25">
        <v>15</v>
      </c>
    </row>
    <row r="148" spans="1:14" x14ac:dyDescent="0.2">
      <c r="A148" s="186">
        <f t="shared" si="8"/>
        <v>80</v>
      </c>
      <c r="B148" s="32">
        <f>80-50</f>
        <v>30</v>
      </c>
      <c r="C148" s="32">
        <v>0</v>
      </c>
      <c r="D148" s="47">
        <f>B148-20</f>
        <v>10</v>
      </c>
      <c r="E148" s="169">
        <f t="shared" si="9"/>
        <v>-15</v>
      </c>
      <c r="F148" s="185">
        <f t="shared" si="10"/>
        <v>-5</v>
      </c>
      <c r="G148" s="73"/>
      <c r="H148" s="74"/>
      <c r="M148" s="25"/>
      <c r="N148" s="25"/>
    </row>
    <row r="149" spans="1:14" ht="17" thickBot="1" x14ac:dyDescent="0.25">
      <c r="A149" s="187">
        <f t="shared" si="8"/>
        <v>90</v>
      </c>
      <c r="B149" s="32">
        <f>90-50</f>
        <v>40</v>
      </c>
      <c r="C149" s="32">
        <v>0</v>
      </c>
      <c r="D149" s="47">
        <f>B149-20</f>
        <v>20</v>
      </c>
      <c r="E149" s="169">
        <f t="shared" si="9"/>
        <v>-15</v>
      </c>
      <c r="F149" s="174">
        <f t="shared" si="10"/>
        <v>5</v>
      </c>
      <c r="G149" s="73"/>
      <c r="H149" s="74"/>
    </row>
    <row r="150" spans="1:14" ht="17" thickBot="1" x14ac:dyDescent="0.25">
      <c r="A150" s="176">
        <f t="shared" si="8"/>
        <v>100</v>
      </c>
      <c r="B150" s="32">
        <f>100-50</f>
        <v>50</v>
      </c>
      <c r="C150" s="32">
        <v>0</v>
      </c>
      <c r="D150" s="170">
        <f>B150-20</f>
        <v>30</v>
      </c>
      <c r="E150" s="171">
        <f t="shared" si="9"/>
        <v>-15</v>
      </c>
      <c r="F150" s="174">
        <f t="shared" si="10"/>
        <v>15</v>
      </c>
      <c r="G150" s="73"/>
      <c r="H150" s="74"/>
    </row>
    <row r="151" spans="1:14" x14ac:dyDescent="0.2">
      <c r="A151" s="64"/>
      <c r="H151" s="42"/>
    </row>
    <row r="152" spans="1:14" x14ac:dyDescent="0.2">
      <c r="A152" s="64" t="s">
        <v>1182</v>
      </c>
      <c r="H152" s="42"/>
    </row>
    <row r="153" spans="1:14" x14ac:dyDescent="0.2">
      <c r="A153" s="64" t="s">
        <v>1183</v>
      </c>
      <c r="H153" s="42"/>
    </row>
    <row r="154" spans="1:14" x14ac:dyDescent="0.2">
      <c r="A154" s="64" t="s">
        <v>1190</v>
      </c>
      <c r="H154" s="42"/>
    </row>
    <row r="155" spans="1:14" x14ac:dyDescent="0.2">
      <c r="A155" s="64" t="s">
        <v>1184</v>
      </c>
      <c r="H155" s="42"/>
    </row>
    <row r="156" spans="1:14" x14ac:dyDescent="0.2">
      <c r="A156" s="64" t="s">
        <v>1185</v>
      </c>
      <c r="H156" s="42"/>
      <c r="I156" s="1" t="s">
        <v>1198</v>
      </c>
    </row>
    <row r="157" spans="1:14" x14ac:dyDescent="0.2">
      <c r="A157" s="64" t="s">
        <v>1186</v>
      </c>
      <c r="H157" s="42"/>
      <c r="I157" s="1" t="s">
        <v>1199</v>
      </c>
    </row>
    <row r="158" spans="1:14" x14ac:dyDescent="0.2">
      <c r="A158" s="64" t="s">
        <v>1187</v>
      </c>
      <c r="H158" s="42"/>
      <c r="I158" s="1" t="s">
        <v>1200</v>
      </c>
    </row>
    <row r="159" spans="1:14" x14ac:dyDescent="0.2">
      <c r="A159" s="64" t="s">
        <v>1188</v>
      </c>
      <c r="H159" s="42"/>
      <c r="I159" s="1" t="s">
        <v>1201</v>
      </c>
    </row>
    <row r="160" spans="1:14" x14ac:dyDescent="0.2">
      <c r="A160" s="64" t="s">
        <v>1189</v>
      </c>
      <c r="H160" s="42"/>
    </row>
    <row r="161" spans="1:9" x14ac:dyDescent="0.2">
      <c r="A161" s="64"/>
      <c r="H161" s="42"/>
    </row>
    <row r="162" spans="1:9" x14ac:dyDescent="0.2">
      <c r="A162" s="64"/>
      <c r="H162" s="42"/>
      <c r="I162" s="1" t="s">
        <v>1202</v>
      </c>
    </row>
    <row r="163" spans="1:9" x14ac:dyDescent="0.2">
      <c r="A163" s="64"/>
      <c r="H163" s="42"/>
      <c r="I163" s="1" t="s">
        <v>1203</v>
      </c>
    </row>
    <row r="164" spans="1:9" x14ac:dyDescent="0.2">
      <c r="A164" s="64"/>
      <c r="H164" s="42"/>
      <c r="I164" s="1" t="s">
        <v>1204</v>
      </c>
    </row>
    <row r="165" spans="1:9" x14ac:dyDescent="0.2">
      <c r="A165" s="64"/>
      <c r="H165" s="42"/>
      <c r="I165" s="1" t="s">
        <v>1205</v>
      </c>
    </row>
    <row r="166" spans="1:9" x14ac:dyDescent="0.2">
      <c r="A166" s="64"/>
      <c r="H166" s="42"/>
      <c r="I166" s="1" t="s">
        <v>1206</v>
      </c>
    </row>
    <row r="167" spans="1:9" ht="17" thickBot="1" x14ac:dyDescent="0.25">
      <c r="A167" s="65"/>
      <c r="B167" s="44"/>
      <c r="C167" s="44"/>
      <c r="D167" s="44"/>
      <c r="E167" s="44"/>
      <c r="F167" s="44"/>
      <c r="G167" s="44"/>
      <c r="H167" s="45"/>
      <c r="I167" s="1" t="s">
        <v>1207</v>
      </c>
    </row>
    <row r="168" spans="1:9" x14ac:dyDescent="0.2">
      <c r="I168" s="1" t="s">
        <v>1208</v>
      </c>
    </row>
    <row r="170" spans="1:9" x14ac:dyDescent="0.2">
      <c r="I170" s="1" t="s">
        <v>1209</v>
      </c>
    </row>
    <row r="171" spans="1:9" x14ac:dyDescent="0.2">
      <c r="I171" s="1" t="s">
        <v>1210</v>
      </c>
    </row>
    <row r="172" spans="1:9" x14ac:dyDescent="0.2">
      <c r="I172" s="1" t="s">
        <v>1211</v>
      </c>
    </row>
    <row r="173" spans="1:9" x14ac:dyDescent="0.2">
      <c r="I173" s="1" t="s">
        <v>1212</v>
      </c>
    </row>
    <row r="175" spans="1:9" ht="17" thickBot="1" x14ac:dyDescent="0.25"/>
    <row r="176" spans="1:9" ht="17" thickBot="1" x14ac:dyDescent="0.25">
      <c r="A176" s="50" t="s">
        <v>2360</v>
      </c>
      <c r="B176" s="51"/>
      <c r="C176" s="51"/>
      <c r="D176" s="51"/>
      <c r="E176" s="51"/>
      <c r="F176" s="51"/>
      <c r="G176" s="51"/>
      <c r="H176" s="52"/>
    </row>
    <row r="178" spans="1:8" x14ac:dyDescent="0.2">
      <c r="A178" s="62" t="s">
        <v>1213</v>
      </c>
    </row>
    <row r="179" spans="1:8" x14ac:dyDescent="0.2">
      <c r="A179" s="62" t="s">
        <v>373</v>
      </c>
    </row>
    <row r="180" spans="1:8" x14ac:dyDescent="0.2">
      <c r="A180" s="62" t="s">
        <v>392</v>
      </c>
    </row>
    <row r="182" spans="1:8" x14ac:dyDescent="0.2">
      <c r="B182" s="21" t="s">
        <v>368</v>
      </c>
      <c r="C182" s="48" t="s">
        <v>1175</v>
      </c>
    </row>
    <row r="183" spans="1:8" x14ac:dyDescent="0.2">
      <c r="B183" s="21" t="s">
        <v>1216</v>
      </c>
      <c r="C183" s="21">
        <v>10</v>
      </c>
    </row>
    <row r="184" spans="1:8" x14ac:dyDescent="0.2">
      <c r="B184" s="21" t="s">
        <v>386</v>
      </c>
      <c r="C184" s="21">
        <v>2</v>
      </c>
    </row>
    <row r="185" spans="1:8" x14ac:dyDescent="0.2">
      <c r="B185" s="21" t="s">
        <v>370</v>
      </c>
      <c r="C185" s="21">
        <v>1</v>
      </c>
    </row>
    <row r="186" spans="1:8" x14ac:dyDescent="0.2">
      <c r="B186" s="21" t="s">
        <v>1217</v>
      </c>
      <c r="C186" s="21">
        <v>15</v>
      </c>
    </row>
    <row r="188" spans="1:8" x14ac:dyDescent="0.2">
      <c r="A188" s="62" t="s">
        <v>382</v>
      </c>
    </row>
    <row r="189" spans="1:8" x14ac:dyDescent="0.2">
      <c r="A189" s="62" t="s">
        <v>1251</v>
      </c>
    </row>
    <row r="190" spans="1:8" x14ac:dyDescent="0.2">
      <c r="A190" s="62" t="s">
        <v>1252</v>
      </c>
    </row>
    <row r="191" spans="1:8" ht="17" thickBot="1" x14ac:dyDescent="0.25"/>
    <row r="192" spans="1:8" s="25" customFormat="1" x14ac:dyDescent="0.2">
      <c r="A192" s="84" t="s">
        <v>78</v>
      </c>
      <c r="B192" s="23"/>
      <c r="C192" s="23"/>
      <c r="D192" s="23"/>
      <c r="E192" s="23"/>
      <c r="F192" s="23"/>
      <c r="G192" s="23"/>
      <c r="H192" s="24"/>
    </row>
    <row r="193" spans="1:14" s="25" customFormat="1" x14ac:dyDescent="0.2">
      <c r="A193" s="189"/>
      <c r="H193" s="27"/>
    </row>
    <row r="194" spans="1:14" s="25" customFormat="1" x14ac:dyDescent="0.2">
      <c r="A194" s="189" t="s">
        <v>1214</v>
      </c>
      <c r="H194" s="27"/>
    </row>
    <row r="195" spans="1:14" s="25" customFormat="1" ht="17" thickBot="1" x14ac:dyDescent="0.25">
      <c r="A195" s="189"/>
      <c r="C195" s="150" t="s">
        <v>1215</v>
      </c>
      <c r="H195" s="27"/>
    </row>
    <row r="196" spans="1:14" s="25" customFormat="1" x14ac:dyDescent="0.2">
      <c r="A196" s="189"/>
      <c r="B196" s="32" t="s">
        <v>716</v>
      </c>
      <c r="C196" s="32" t="s">
        <v>1235</v>
      </c>
      <c r="D196" s="130" t="s">
        <v>1228</v>
      </c>
      <c r="E196" s="167" t="s">
        <v>1228</v>
      </c>
      <c r="H196" s="27"/>
      <c r="I196" s="32" t="s">
        <v>716</v>
      </c>
    </row>
    <row r="197" spans="1:14" s="25" customFormat="1" x14ac:dyDescent="0.2">
      <c r="A197" s="189"/>
      <c r="B197" s="32" t="s">
        <v>1218</v>
      </c>
      <c r="C197" s="32" t="s">
        <v>1236</v>
      </c>
      <c r="D197" s="47" t="s">
        <v>213</v>
      </c>
      <c r="E197" s="169" t="s">
        <v>213</v>
      </c>
      <c r="H197" s="27"/>
      <c r="I197" s="25" t="s">
        <v>1224</v>
      </c>
    </row>
    <row r="198" spans="1:14" s="25" customFormat="1" x14ac:dyDescent="0.2">
      <c r="A198" s="189"/>
      <c r="B198" s="32" t="s">
        <v>385</v>
      </c>
      <c r="C198" s="32" t="s">
        <v>387</v>
      </c>
      <c r="D198" s="47" t="s">
        <v>1229</v>
      </c>
      <c r="E198" s="169" t="s">
        <v>1247</v>
      </c>
      <c r="F198" s="198" t="s">
        <v>1253</v>
      </c>
      <c r="H198" s="27"/>
      <c r="I198" s="25" t="s">
        <v>1221</v>
      </c>
    </row>
    <row r="199" spans="1:14" s="25" customFormat="1" x14ac:dyDescent="0.2">
      <c r="A199" s="189"/>
      <c r="B199" s="32">
        <v>0</v>
      </c>
      <c r="C199" s="32" t="s">
        <v>198</v>
      </c>
      <c r="D199" s="47" t="s">
        <v>1230</v>
      </c>
      <c r="E199" s="169" t="s">
        <v>1230</v>
      </c>
      <c r="F199" s="198" t="s">
        <v>1254</v>
      </c>
      <c r="H199" s="27"/>
      <c r="I199" s="25" t="s">
        <v>1225</v>
      </c>
    </row>
    <row r="200" spans="1:14" s="25" customFormat="1" x14ac:dyDescent="0.2">
      <c r="A200" s="199" t="s">
        <v>1255</v>
      </c>
      <c r="B200" s="32" t="s">
        <v>1223</v>
      </c>
      <c r="C200" s="32" t="s">
        <v>1219</v>
      </c>
      <c r="D200" s="47" t="s">
        <v>1231</v>
      </c>
      <c r="E200" s="169" t="s">
        <v>1231</v>
      </c>
      <c r="F200" s="192" t="s">
        <v>213</v>
      </c>
      <c r="H200" s="27"/>
      <c r="I200" s="25" t="s">
        <v>1226</v>
      </c>
    </row>
    <row r="201" spans="1:14" s="25" customFormat="1" x14ac:dyDescent="0.2">
      <c r="A201" s="199" t="s">
        <v>1256</v>
      </c>
      <c r="B201" s="32" t="s">
        <v>1220</v>
      </c>
      <c r="C201" s="32" t="s">
        <v>1246</v>
      </c>
      <c r="D201" s="47" t="s">
        <v>1232</v>
      </c>
      <c r="E201" s="169" t="s">
        <v>1232</v>
      </c>
      <c r="F201" s="192" t="s">
        <v>1249</v>
      </c>
      <c r="H201" s="27"/>
      <c r="I201" s="25" t="s">
        <v>1222</v>
      </c>
      <c r="N201" s="32" t="s">
        <v>144</v>
      </c>
    </row>
    <row r="202" spans="1:14" s="25" customFormat="1" x14ac:dyDescent="0.2">
      <c r="A202" s="199" t="s">
        <v>1254</v>
      </c>
      <c r="B202" s="32" t="s">
        <v>144</v>
      </c>
      <c r="C202" s="32">
        <v>0</v>
      </c>
      <c r="D202" s="47" t="s">
        <v>1233</v>
      </c>
      <c r="E202" s="169" t="s">
        <v>1233</v>
      </c>
      <c r="F202" s="32" t="s">
        <v>1250</v>
      </c>
      <c r="H202" s="27"/>
    </row>
    <row r="203" spans="1:14" s="25" customFormat="1" ht="17" thickBot="1" x14ac:dyDescent="0.25">
      <c r="A203" s="79" t="s">
        <v>71</v>
      </c>
      <c r="B203" s="85" t="s">
        <v>388</v>
      </c>
      <c r="C203" s="86" t="s">
        <v>389</v>
      </c>
      <c r="D203" s="193" t="s">
        <v>1227</v>
      </c>
      <c r="E203" s="194" t="s">
        <v>1248</v>
      </c>
      <c r="F203" s="197" t="s">
        <v>262</v>
      </c>
      <c r="H203" s="27"/>
      <c r="I203" s="32" t="s">
        <v>1228</v>
      </c>
    </row>
    <row r="204" spans="1:14" s="25" customFormat="1" ht="17" thickBot="1" x14ac:dyDescent="0.25">
      <c r="A204" s="200">
        <v>0</v>
      </c>
      <c r="B204" s="201">
        <v>0</v>
      </c>
      <c r="C204" s="202">
        <f>30-0</f>
        <v>30</v>
      </c>
      <c r="D204" s="203">
        <f t="shared" ref="D204:D214" si="11">B204-10</f>
        <v>-10</v>
      </c>
      <c r="E204" s="204">
        <f t="shared" ref="E204:E214" si="12">C204-15</f>
        <v>15</v>
      </c>
      <c r="F204" s="205">
        <f t="shared" ref="F204:F214" si="13">D204+E204</f>
        <v>5</v>
      </c>
      <c r="H204" s="27"/>
      <c r="I204" s="25" t="s">
        <v>1234</v>
      </c>
    </row>
    <row r="205" spans="1:14" s="25" customFormat="1" x14ac:dyDescent="0.2">
      <c r="A205" s="190">
        <f t="shared" ref="A205:A214" si="14">A204+10</f>
        <v>10</v>
      </c>
      <c r="B205" s="85">
        <v>0</v>
      </c>
      <c r="C205" s="86">
        <f>30-10</f>
        <v>20</v>
      </c>
      <c r="D205" s="193">
        <f t="shared" si="11"/>
        <v>-10</v>
      </c>
      <c r="E205" s="194">
        <f t="shared" si="12"/>
        <v>5</v>
      </c>
      <c r="F205" s="197">
        <f t="shared" si="13"/>
        <v>-5</v>
      </c>
      <c r="H205" s="27"/>
    </row>
    <row r="206" spans="1:14" s="25" customFormat="1" ht="17" thickBot="1" x14ac:dyDescent="0.25">
      <c r="A206" s="191">
        <f t="shared" si="14"/>
        <v>20</v>
      </c>
      <c r="B206" s="85">
        <v>0</v>
      </c>
      <c r="C206" s="86">
        <f>30-20</f>
        <v>10</v>
      </c>
      <c r="D206" s="193">
        <f t="shared" si="11"/>
        <v>-10</v>
      </c>
      <c r="E206" s="194">
        <f t="shared" si="12"/>
        <v>-5</v>
      </c>
      <c r="F206" s="197">
        <f t="shared" si="13"/>
        <v>-15</v>
      </c>
      <c r="H206" s="27"/>
      <c r="I206" s="32" t="s">
        <v>1235</v>
      </c>
    </row>
    <row r="207" spans="1:14" s="25" customFormat="1" ht="17" thickBot="1" x14ac:dyDescent="0.25">
      <c r="A207" s="206">
        <f t="shared" si="14"/>
        <v>30</v>
      </c>
      <c r="B207" s="201">
        <v>0</v>
      </c>
      <c r="C207" s="202">
        <v>0</v>
      </c>
      <c r="D207" s="203">
        <f t="shared" si="11"/>
        <v>-10</v>
      </c>
      <c r="E207" s="204">
        <f t="shared" si="12"/>
        <v>-15</v>
      </c>
      <c r="F207" s="205">
        <f t="shared" si="13"/>
        <v>-25</v>
      </c>
      <c r="H207" s="27"/>
      <c r="I207" s="25" t="s">
        <v>1237</v>
      </c>
    </row>
    <row r="208" spans="1:14" s="25" customFormat="1" x14ac:dyDescent="0.2">
      <c r="A208" s="79">
        <f t="shared" si="14"/>
        <v>40</v>
      </c>
      <c r="B208" s="85">
        <v>10</v>
      </c>
      <c r="C208" s="86">
        <v>0</v>
      </c>
      <c r="D208" s="193">
        <f t="shared" si="11"/>
        <v>0</v>
      </c>
      <c r="E208" s="194">
        <f t="shared" si="12"/>
        <v>-15</v>
      </c>
      <c r="F208" s="197">
        <f t="shared" si="13"/>
        <v>-15</v>
      </c>
      <c r="H208" s="27"/>
      <c r="I208" s="25" t="s">
        <v>1238</v>
      </c>
    </row>
    <row r="209" spans="1:16" s="25" customFormat="1" x14ac:dyDescent="0.2">
      <c r="A209" s="83">
        <f t="shared" si="14"/>
        <v>50</v>
      </c>
      <c r="B209" s="85">
        <v>20</v>
      </c>
      <c r="C209" s="86">
        <v>0</v>
      </c>
      <c r="D209" s="193">
        <f t="shared" si="11"/>
        <v>10</v>
      </c>
      <c r="E209" s="194">
        <f t="shared" si="12"/>
        <v>-15</v>
      </c>
      <c r="F209" s="197">
        <f t="shared" si="13"/>
        <v>-5</v>
      </c>
      <c r="H209" s="27"/>
      <c r="I209" s="25" t="s">
        <v>1239</v>
      </c>
      <c r="L209" s="25" t="s">
        <v>146</v>
      </c>
      <c r="M209" s="25" t="s">
        <v>1244</v>
      </c>
    </row>
    <row r="210" spans="1:16" s="25" customFormat="1" x14ac:dyDescent="0.2">
      <c r="A210" s="83">
        <f t="shared" si="14"/>
        <v>60</v>
      </c>
      <c r="B210" s="85">
        <v>30</v>
      </c>
      <c r="C210" s="86">
        <v>0</v>
      </c>
      <c r="D210" s="193">
        <f t="shared" si="11"/>
        <v>20</v>
      </c>
      <c r="E210" s="194">
        <f t="shared" si="12"/>
        <v>-15</v>
      </c>
      <c r="F210" s="197">
        <f t="shared" si="13"/>
        <v>5</v>
      </c>
      <c r="H210" s="27"/>
      <c r="L210" s="25" t="s">
        <v>1240</v>
      </c>
      <c r="M210" s="25" t="s">
        <v>1245</v>
      </c>
    </row>
    <row r="211" spans="1:16" s="25" customFormat="1" x14ac:dyDescent="0.2">
      <c r="A211" s="79">
        <f t="shared" si="14"/>
        <v>70</v>
      </c>
      <c r="B211" s="85">
        <v>40</v>
      </c>
      <c r="C211" s="86">
        <v>0</v>
      </c>
      <c r="D211" s="193">
        <f t="shared" si="11"/>
        <v>30</v>
      </c>
      <c r="E211" s="194">
        <f t="shared" si="12"/>
        <v>-15</v>
      </c>
      <c r="F211" s="197">
        <f t="shared" si="13"/>
        <v>15</v>
      </c>
      <c r="H211" s="27"/>
      <c r="I211" s="25" t="s">
        <v>1241</v>
      </c>
    </row>
    <row r="212" spans="1:16" s="25" customFormat="1" x14ac:dyDescent="0.2">
      <c r="A212" s="79">
        <f t="shared" si="14"/>
        <v>80</v>
      </c>
      <c r="B212" s="85">
        <v>50</v>
      </c>
      <c r="C212" s="86">
        <v>0</v>
      </c>
      <c r="D212" s="193">
        <f t="shared" si="11"/>
        <v>40</v>
      </c>
      <c r="E212" s="194">
        <f t="shared" si="12"/>
        <v>-15</v>
      </c>
      <c r="F212" s="197">
        <f t="shared" si="13"/>
        <v>25</v>
      </c>
      <c r="H212" s="27"/>
      <c r="L212" s="25" t="s">
        <v>1242</v>
      </c>
      <c r="M212" s="25" t="s">
        <v>1244</v>
      </c>
    </row>
    <row r="213" spans="1:16" s="25" customFormat="1" x14ac:dyDescent="0.2">
      <c r="A213" s="79">
        <f t="shared" si="14"/>
        <v>90</v>
      </c>
      <c r="B213" s="85">
        <v>60</v>
      </c>
      <c r="C213" s="86">
        <v>0</v>
      </c>
      <c r="D213" s="193">
        <f t="shared" si="11"/>
        <v>50</v>
      </c>
      <c r="E213" s="194">
        <f t="shared" si="12"/>
        <v>-15</v>
      </c>
      <c r="F213" s="197">
        <f t="shared" si="13"/>
        <v>35</v>
      </c>
      <c r="H213" s="27"/>
      <c r="L213" s="25" t="s">
        <v>1243</v>
      </c>
      <c r="M213" s="25" t="s">
        <v>1245</v>
      </c>
    </row>
    <row r="214" spans="1:16" s="25" customFormat="1" ht="17" thickBot="1" x14ac:dyDescent="0.25">
      <c r="A214" s="79">
        <f t="shared" si="14"/>
        <v>100</v>
      </c>
      <c r="B214" s="85">
        <v>70</v>
      </c>
      <c r="C214" s="86">
        <v>0</v>
      </c>
      <c r="D214" s="195">
        <f t="shared" si="11"/>
        <v>60</v>
      </c>
      <c r="E214" s="196">
        <f t="shared" si="12"/>
        <v>-15</v>
      </c>
      <c r="F214" s="197">
        <f t="shared" si="13"/>
        <v>45</v>
      </c>
      <c r="H214" s="27"/>
    </row>
    <row r="215" spans="1:16" s="25" customFormat="1" x14ac:dyDescent="0.2">
      <c r="A215" s="78"/>
      <c r="H215" s="27"/>
      <c r="N215" s="32" t="s">
        <v>262</v>
      </c>
    </row>
    <row r="216" spans="1:16" s="25" customFormat="1" x14ac:dyDescent="0.2">
      <c r="A216" s="78"/>
      <c r="H216" s="27"/>
    </row>
    <row r="217" spans="1:16" x14ac:dyDescent="0.2">
      <c r="A217" s="64"/>
      <c r="H217" s="42"/>
    </row>
    <row r="218" spans="1:16" x14ac:dyDescent="0.2">
      <c r="A218" s="64"/>
      <c r="H218" s="42"/>
      <c r="J218" s="1" t="s">
        <v>1197</v>
      </c>
      <c r="P218" s="1" t="s">
        <v>1258</v>
      </c>
    </row>
    <row r="219" spans="1:16" x14ac:dyDescent="0.2">
      <c r="A219" s="64"/>
      <c r="H219" s="42"/>
      <c r="J219" s="1" t="s">
        <v>341</v>
      </c>
      <c r="P219" s="1" t="s">
        <v>1259</v>
      </c>
    </row>
    <row r="220" spans="1:16" x14ac:dyDescent="0.2">
      <c r="A220" s="64"/>
      <c r="H220" s="42"/>
      <c r="J220" s="1" t="s">
        <v>1257</v>
      </c>
      <c r="P220" s="1" t="s">
        <v>1260</v>
      </c>
    </row>
    <row r="221" spans="1:16" x14ac:dyDescent="0.2">
      <c r="A221" s="64"/>
      <c r="H221" s="42"/>
      <c r="P221" s="1" t="s">
        <v>1261</v>
      </c>
    </row>
    <row r="222" spans="1:16" x14ac:dyDescent="0.2">
      <c r="A222" s="64"/>
      <c r="H222" s="42"/>
      <c r="P222" s="1" t="s">
        <v>1262</v>
      </c>
    </row>
    <row r="223" spans="1:16" x14ac:dyDescent="0.2">
      <c r="A223" s="64"/>
      <c r="H223" s="42"/>
      <c r="P223" s="1" t="s">
        <v>1263</v>
      </c>
    </row>
    <row r="224" spans="1:16" x14ac:dyDescent="0.2">
      <c r="A224" s="64"/>
      <c r="H224" s="42"/>
      <c r="P224" s="1" t="s">
        <v>1264</v>
      </c>
    </row>
    <row r="225" spans="1:16" x14ac:dyDescent="0.2">
      <c r="A225" s="64"/>
      <c r="H225" s="42"/>
      <c r="P225" s="1" t="s">
        <v>1265</v>
      </c>
    </row>
    <row r="226" spans="1:16" x14ac:dyDescent="0.2">
      <c r="A226" s="64"/>
      <c r="H226" s="42"/>
      <c r="I226" s="1" t="s">
        <v>71</v>
      </c>
      <c r="P226" s="1" t="s">
        <v>1266</v>
      </c>
    </row>
    <row r="227" spans="1:16" x14ac:dyDescent="0.2">
      <c r="A227" s="64"/>
      <c r="H227" s="42"/>
      <c r="P227" s="1" t="s">
        <v>1267</v>
      </c>
    </row>
    <row r="228" spans="1:16" x14ac:dyDescent="0.2">
      <c r="A228" s="64"/>
      <c r="H228" s="42"/>
      <c r="P228" s="1" t="s">
        <v>1268</v>
      </c>
    </row>
    <row r="229" spans="1:16" x14ac:dyDescent="0.2">
      <c r="A229" s="64"/>
      <c r="H229" s="42"/>
      <c r="P229" s="1" t="s">
        <v>1269</v>
      </c>
    </row>
    <row r="230" spans="1:16" x14ac:dyDescent="0.2">
      <c r="A230" s="64"/>
      <c r="H230" s="42"/>
      <c r="P230" s="1" t="s">
        <v>1270</v>
      </c>
    </row>
    <row r="231" spans="1:16" x14ac:dyDescent="0.2">
      <c r="A231" s="64"/>
      <c r="H231" s="42"/>
      <c r="P231" s="1" t="s">
        <v>1271</v>
      </c>
    </row>
    <row r="232" spans="1:16" x14ac:dyDescent="0.2">
      <c r="A232" s="64"/>
      <c r="H232" s="42"/>
      <c r="P232" s="1" t="s">
        <v>1272</v>
      </c>
    </row>
    <row r="233" spans="1:16" ht="17" thickBot="1" x14ac:dyDescent="0.25">
      <c r="A233" s="65"/>
      <c r="B233" s="44"/>
      <c r="C233" s="44"/>
      <c r="D233" s="44"/>
      <c r="E233" s="44"/>
      <c r="F233" s="44"/>
      <c r="G233" s="44"/>
      <c r="H233" s="45"/>
      <c r="P233" s="1" t="s">
        <v>1273</v>
      </c>
    </row>
    <row r="234" spans="1:16" x14ac:dyDescent="0.2">
      <c r="P234" s="1" t="s">
        <v>1274</v>
      </c>
    </row>
    <row r="235" spans="1:16" x14ac:dyDescent="0.2">
      <c r="P235" s="1" t="s">
        <v>1275</v>
      </c>
    </row>
    <row r="236" spans="1:16" x14ac:dyDescent="0.2">
      <c r="P236" s="1" t="s">
        <v>1276</v>
      </c>
    </row>
    <row r="237" spans="1:16" x14ac:dyDescent="0.2">
      <c r="P237" s="1" t="s">
        <v>1277</v>
      </c>
    </row>
    <row r="242" spans="1:8" x14ac:dyDescent="0.2">
      <c r="A242" s="160" t="s">
        <v>1278</v>
      </c>
    </row>
    <row r="243" spans="1:8" ht="17" thickBot="1" x14ac:dyDescent="0.25"/>
    <row r="244" spans="1:8" ht="17" thickBot="1" x14ac:dyDescent="0.25">
      <c r="A244" s="50" t="s">
        <v>1279</v>
      </c>
      <c r="B244" s="51"/>
      <c r="C244" s="51"/>
      <c r="D244" s="51"/>
      <c r="E244" s="51"/>
      <c r="F244" s="51"/>
      <c r="G244" s="51"/>
      <c r="H244" s="52"/>
    </row>
    <row r="245" spans="1:8" x14ac:dyDescent="0.2">
      <c r="A245" s="62" t="s">
        <v>944</v>
      </c>
    </row>
    <row r="246" spans="1:8" x14ac:dyDescent="0.2">
      <c r="A246" s="62" t="s">
        <v>1280</v>
      </c>
    </row>
    <row r="247" spans="1:8" x14ac:dyDescent="0.2">
      <c r="A247" s="62" t="s">
        <v>1281</v>
      </c>
    </row>
    <row r="248" spans="1:8" x14ac:dyDescent="0.2">
      <c r="A248" s="62" t="s">
        <v>1282</v>
      </c>
    </row>
    <row r="250" spans="1:8" x14ac:dyDescent="0.2">
      <c r="B250" s="21" t="s">
        <v>368</v>
      </c>
      <c r="C250" s="48" t="s">
        <v>1175</v>
      </c>
    </row>
    <row r="251" spans="1:8" x14ac:dyDescent="0.2">
      <c r="B251" s="21" t="s">
        <v>1169</v>
      </c>
      <c r="C251" s="21">
        <v>40</v>
      </c>
    </row>
    <row r="252" spans="1:8" x14ac:dyDescent="0.2">
      <c r="B252" s="21" t="s">
        <v>1168</v>
      </c>
      <c r="C252" s="21">
        <v>30</v>
      </c>
    </row>
    <row r="253" spans="1:8" x14ac:dyDescent="0.2">
      <c r="B253" s="21" t="s">
        <v>385</v>
      </c>
      <c r="C253" s="21">
        <v>20</v>
      </c>
    </row>
    <row r="254" spans="1:8" x14ac:dyDescent="0.2">
      <c r="B254" s="21" t="s">
        <v>386</v>
      </c>
      <c r="C254" s="21">
        <v>10</v>
      </c>
    </row>
    <row r="255" spans="1:8" x14ac:dyDescent="0.2">
      <c r="B255" s="21" t="s">
        <v>369</v>
      </c>
      <c r="C255" s="21">
        <v>5</v>
      </c>
    </row>
    <row r="256" spans="1:8" x14ac:dyDescent="0.2">
      <c r="B256" s="21" t="s">
        <v>1285</v>
      </c>
      <c r="C256" s="21">
        <v>2</v>
      </c>
    </row>
    <row r="257" spans="1:13" x14ac:dyDescent="0.2">
      <c r="B257" s="21" t="s">
        <v>1286</v>
      </c>
      <c r="C257" s="21">
        <v>8</v>
      </c>
    </row>
    <row r="258" spans="1:13" x14ac:dyDescent="0.2">
      <c r="B258" s="21" t="s">
        <v>1287</v>
      </c>
      <c r="C258" s="21">
        <v>12</v>
      </c>
    </row>
    <row r="259" spans="1:13" x14ac:dyDescent="0.2">
      <c r="B259" s="21" t="s">
        <v>1283</v>
      </c>
      <c r="C259" s="21">
        <v>17</v>
      </c>
    </row>
    <row r="260" spans="1:13" x14ac:dyDescent="0.2">
      <c r="B260" s="21" t="s">
        <v>1289</v>
      </c>
      <c r="C260" s="21">
        <v>23</v>
      </c>
    </row>
    <row r="262" spans="1:13" x14ac:dyDescent="0.2">
      <c r="A262" s="62" t="s">
        <v>382</v>
      </c>
    </row>
    <row r="263" spans="1:13" x14ac:dyDescent="0.2">
      <c r="A263" s="62" t="s">
        <v>1284</v>
      </c>
    </row>
    <row r="264" spans="1:13" x14ac:dyDescent="0.2">
      <c r="A264" s="62" t="s">
        <v>1252</v>
      </c>
    </row>
    <row r="266" spans="1:13" x14ac:dyDescent="0.2">
      <c r="A266" s="62" t="s">
        <v>78</v>
      </c>
    </row>
    <row r="267" spans="1:13" x14ac:dyDescent="0.2">
      <c r="H267" s="25"/>
      <c r="I267" s="25"/>
      <c r="J267" s="25"/>
      <c r="K267" s="25"/>
      <c r="L267" s="25"/>
      <c r="M267" s="32" t="s">
        <v>262</v>
      </c>
    </row>
    <row r="268" spans="1:13" x14ac:dyDescent="0.2">
      <c r="A268" s="156" t="s">
        <v>71</v>
      </c>
      <c r="B268" s="21" t="s">
        <v>1288</v>
      </c>
      <c r="C268" s="21" t="s">
        <v>1290</v>
      </c>
      <c r="D268" s="21" t="s">
        <v>1105</v>
      </c>
      <c r="H268" s="25"/>
      <c r="I268" s="25"/>
      <c r="J268" s="25"/>
      <c r="K268" s="25"/>
      <c r="L268" s="25"/>
      <c r="M268" s="25"/>
    </row>
    <row r="269" spans="1:13" x14ac:dyDescent="0.2">
      <c r="A269" s="156">
        <v>0</v>
      </c>
      <c r="B269" s="21">
        <v>-10</v>
      </c>
      <c r="C269" s="21">
        <f>40-0-17</f>
        <v>23</v>
      </c>
      <c r="D269" s="21">
        <f>B269+C269</f>
        <v>13</v>
      </c>
    </row>
    <row r="270" spans="1:13" x14ac:dyDescent="0.2">
      <c r="A270" s="156">
        <f>A269+10</f>
        <v>10</v>
      </c>
      <c r="B270" s="21">
        <v>-10</v>
      </c>
      <c r="C270" s="21">
        <f>40-10-17</f>
        <v>13</v>
      </c>
      <c r="D270" s="21">
        <f t="shared" ref="D270:D279" si="15">B270+C270</f>
        <v>3</v>
      </c>
      <c r="I270" s="1" t="s">
        <v>1197</v>
      </c>
    </row>
    <row r="271" spans="1:13" x14ac:dyDescent="0.2">
      <c r="A271" s="156">
        <f t="shared" ref="A271:A279" si="16">A270+10</f>
        <v>20</v>
      </c>
      <c r="B271" s="21">
        <v>-10</v>
      </c>
      <c r="C271" s="21">
        <f>40-20-17</f>
        <v>3</v>
      </c>
      <c r="D271" s="21">
        <f t="shared" si="15"/>
        <v>-7</v>
      </c>
      <c r="I271" s="1" t="s">
        <v>341</v>
      </c>
    </row>
    <row r="272" spans="1:13" x14ac:dyDescent="0.2">
      <c r="A272" s="156">
        <f t="shared" si="16"/>
        <v>30</v>
      </c>
      <c r="B272" s="21">
        <v>-10</v>
      </c>
      <c r="C272" s="21">
        <f>40-30-17</f>
        <v>-7</v>
      </c>
      <c r="D272" s="21">
        <f t="shared" si="15"/>
        <v>-17</v>
      </c>
      <c r="I272" s="1" t="s">
        <v>1291</v>
      </c>
    </row>
    <row r="273" spans="1:8" x14ac:dyDescent="0.2">
      <c r="A273" s="156">
        <f t="shared" si="16"/>
        <v>40</v>
      </c>
      <c r="B273" s="21">
        <v>-10</v>
      </c>
      <c r="C273" s="21">
        <v>-17</v>
      </c>
      <c r="D273" s="21">
        <f t="shared" si="15"/>
        <v>-27</v>
      </c>
    </row>
    <row r="274" spans="1:8" x14ac:dyDescent="0.2">
      <c r="A274" s="156">
        <f t="shared" si="16"/>
        <v>50</v>
      </c>
      <c r="B274" s="21">
        <f>50-40-10</f>
        <v>0</v>
      </c>
      <c r="C274" s="21">
        <v>-17</v>
      </c>
      <c r="D274" s="21">
        <f t="shared" si="15"/>
        <v>-17</v>
      </c>
    </row>
    <row r="275" spans="1:8" x14ac:dyDescent="0.2">
      <c r="A275" s="156">
        <f t="shared" si="16"/>
        <v>60</v>
      </c>
      <c r="B275" s="21">
        <f>60-40-10</f>
        <v>10</v>
      </c>
      <c r="C275" s="21">
        <v>-17</v>
      </c>
      <c r="D275" s="21">
        <f t="shared" si="15"/>
        <v>-7</v>
      </c>
    </row>
    <row r="276" spans="1:8" x14ac:dyDescent="0.2">
      <c r="A276" s="156">
        <f t="shared" si="16"/>
        <v>70</v>
      </c>
      <c r="B276" s="21">
        <f>70-40-10</f>
        <v>20</v>
      </c>
      <c r="C276" s="21">
        <v>-17</v>
      </c>
      <c r="D276" s="21">
        <f t="shared" si="15"/>
        <v>3</v>
      </c>
    </row>
    <row r="277" spans="1:8" x14ac:dyDescent="0.2">
      <c r="A277" s="156">
        <f t="shared" si="16"/>
        <v>80</v>
      </c>
      <c r="B277" s="21">
        <f>80-40-10</f>
        <v>30</v>
      </c>
      <c r="C277" s="21">
        <v>-17</v>
      </c>
      <c r="D277" s="21">
        <f t="shared" si="15"/>
        <v>13</v>
      </c>
    </row>
    <row r="278" spans="1:8" x14ac:dyDescent="0.2">
      <c r="A278" s="156">
        <f t="shared" si="16"/>
        <v>90</v>
      </c>
      <c r="B278" s="21">
        <f>90-40-10</f>
        <v>40</v>
      </c>
      <c r="C278" s="21">
        <v>-17</v>
      </c>
      <c r="D278" s="21">
        <f t="shared" si="15"/>
        <v>23</v>
      </c>
      <c r="H278" s="1" t="s">
        <v>71</v>
      </c>
    </row>
    <row r="279" spans="1:8" x14ac:dyDescent="0.2">
      <c r="A279" s="156">
        <f t="shared" si="16"/>
        <v>100</v>
      </c>
      <c r="B279" s="21">
        <f>100-40-10</f>
        <v>50</v>
      </c>
      <c r="C279" s="21">
        <v>-17</v>
      </c>
      <c r="D279" s="21">
        <f t="shared" si="15"/>
        <v>33</v>
      </c>
    </row>
    <row r="472" spans="1:8" ht="17" thickBot="1" x14ac:dyDescent="0.25"/>
    <row r="473" spans="1:8" ht="17" thickBot="1" x14ac:dyDescent="0.25">
      <c r="A473" s="50" t="s">
        <v>1166</v>
      </c>
      <c r="B473" s="51"/>
      <c r="C473" s="51"/>
      <c r="D473" s="51"/>
      <c r="E473" s="51"/>
      <c r="F473" s="51"/>
      <c r="G473" s="51"/>
      <c r="H473" s="52"/>
    </row>
    <row r="475" spans="1:8" x14ac:dyDescent="0.2">
      <c r="A475" s="62" t="s">
        <v>1167</v>
      </c>
    </row>
    <row r="476" spans="1:8" x14ac:dyDescent="0.2">
      <c r="A476" s="62" t="s">
        <v>373</v>
      </c>
    </row>
    <row r="477" spans="1:8" x14ac:dyDescent="0.2">
      <c r="A477" s="62" t="s">
        <v>392</v>
      </c>
    </row>
    <row r="479" spans="1:8" x14ac:dyDescent="0.2">
      <c r="B479" s="21" t="s">
        <v>368</v>
      </c>
      <c r="C479" s="21" t="s">
        <v>374</v>
      </c>
    </row>
    <row r="480" spans="1:8" x14ac:dyDescent="0.2">
      <c r="B480" s="60" t="s">
        <v>386</v>
      </c>
      <c r="C480" s="60">
        <v>10</v>
      </c>
    </row>
    <row r="481" spans="1:8" x14ac:dyDescent="0.2">
      <c r="B481" s="21" t="s">
        <v>1168</v>
      </c>
      <c r="C481" s="21">
        <v>21</v>
      </c>
    </row>
    <row r="482" spans="1:8" x14ac:dyDescent="0.2">
      <c r="B482" s="21" t="s">
        <v>1169</v>
      </c>
      <c r="C482" s="21">
        <v>31</v>
      </c>
    </row>
    <row r="483" spans="1:8" x14ac:dyDescent="0.2">
      <c r="B483" s="60" t="s">
        <v>387</v>
      </c>
      <c r="C483" s="60">
        <v>15</v>
      </c>
    </row>
    <row r="485" spans="1:8" x14ac:dyDescent="0.2">
      <c r="A485" s="62" t="s">
        <v>382</v>
      </c>
    </row>
    <row r="486" spans="1:8" x14ac:dyDescent="0.2">
      <c r="A486" s="62" t="s">
        <v>383</v>
      </c>
    </row>
    <row r="487" spans="1:8" x14ac:dyDescent="0.2">
      <c r="A487" s="62" t="s">
        <v>384</v>
      </c>
    </row>
    <row r="489" spans="1:8" ht="21" x14ac:dyDescent="0.25">
      <c r="A489" s="149" t="s">
        <v>1064</v>
      </c>
    </row>
    <row r="490" spans="1:8" ht="17" thickBot="1" x14ac:dyDescent="0.25"/>
    <row r="491" spans="1:8" ht="17" thickBot="1" x14ac:dyDescent="0.25">
      <c r="A491" s="151" t="s">
        <v>1065</v>
      </c>
      <c r="B491" s="152"/>
      <c r="C491" s="152"/>
      <c r="D491" s="152"/>
      <c r="E491" s="152"/>
      <c r="F491" s="152"/>
      <c r="G491" s="152"/>
      <c r="H491" s="153"/>
    </row>
    <row r="493" spans="1:8" x14ac:dyDescent="0.2">
      <c r="A493" s="62" t="s">
        <v>1066</v>
      </c>
    </row>
    <row r="494" spans="1:8" x14ac:dyDescent="0.2">
      <c r="A494" s="62" t="s">
        <v>1074</v>
      </c>
    </row>
    <row r="495" spans="1:8" x14ac:dyDescent="0.2">
      <c r="A495" s="62" t="s">
        <v>1075</v>
      </c>
    </row>
    <row r="496" spans="1:8" x14ac:dyDescent="0.2">
      <c r="A496" s="62" t="s">
        <v>1076</v>
      </c>
    </row>
    <row r="497" spans="1:5" x14ac:dyDescent="0.2">
      <c r="A497" s="62" t="s">
        <v>1077</v>
      </c>
    </row>
    <row r="499" spans="1:5" x14ac:dyDescent="0.2">
      <c r="A499" s="62" t="s">
        <v>1073</v>
      </c>
    </row>
    <row r="501" spans="1:5" x14ac:dyDescent="0.2">
      <c r="A501" s="62" t="s">
        <v>78</v>
      </c>
    </row>
    <row r="502" spans="1:5" x14ac:dyDescent="0.2">
      <c r="B502" s="21" t="s">
        <v>1068</v>
      </c>
      <c r="C502" s="21" t="s">
        <v>77</v>
      </c>
      <c r="D502" s="21" t="s">
        <v>77</v>
      </c>
      <c r="E502" s="21" t="s">
        <v>77</v>
      </c>
    </row>
    <row r="503" spans="1:5" x14ac:dyDescent="0.2">
      <c r="A503" s="157" t="s">
        <v>71</v>
      </c>
      <c r="B503" s="75" t="s">
        <v>1069</v>
      </c>
      <c r="C503" s="75" t="s">
        <v>1070</v>
      </c>
      <c r="D503" s="75" t="s">
        <v>1071</v>
      </c>
      <c r="E503" s="75" t="s">
        <v>1072</v>
      </c>
    </row>
    <row r="504" spans="1:5" x14ac:dyDescent="0.2">
      <c r="A504" s="156">
        <v>3</v>
      </c>
      <c r="B504" s="21">
        <v>-500</v>
      </c>
      <c r="C504" s="21">
        <f>400</f>
        <v>400</v>
      </c>
      <c r="D504" s="21">
        <f>-800+(3.6-3)*10000</f>
        <v>5200.0000000000009</v>
      </c>
      <c r="E504" s="21">
        <f>1000-(3.7-3)*10000</f>
        <v>-6000.0000000000018</v>
      </c>
    </row>
    <row r="505" spans="1:5" x14ac:dyDescent="0.2">
      <c r="A505" s="156">
        <f t="shared" ref="A505:A514" si="17">A504+0.1</f>
        <v>3.1</v>
      </c>
      <c r="B505" s="21">
        <v>-500</v>
      </c>
      <c r="C505" s="21">
        <f>400</f>
        <v>400</v>
      </c>
      <c r="D505" s="21">
        <f>-800+(3.6-3.1)*10000</f>
        <v>4200</v>
      </c>
      <c r="E505" s="21">
        <f>1000-(3.7-3.1)*10000</f>
        <v>-5000.0000000000009</v>
      </c>
    </row>
    <row r="506" spans="1:5" x14ac:dyDescent="0.2">
      <c r="A506" s="156">
        <f t="shared" si="17"/>
        <v>3.2</v>
      </c>
      <c r="B506" s="21">
        <v>-500</v>
      </c>
      <c r="C506" s="21">
        <f>400</f>
        <v>400</v>
      </c>
      <c r="D506" s="21">
        <f>-800+(3.6-3.2)*10000</f>
        <v>3199.9999999999991</v>
      </c>
      <c r="E506" s="21">
        <f>1000-(3.7-3.2)*10000</f>
        <v>-4000</v>
      </c>
    </row>
    <row r="507" spans="1:5" x14ac:dyDescent="0.2">
      <c r="A507" s="156">
        <f t="shared" si="17"/>
        <v>3.3000000000000003</v>
      </c>
      <c r="B507" s="21">
        <v>-500</v>
      </c>
      <c r="C507" s="21">
        <f>400</f>
        <v>400</v>
      </c>
      <c r="D507" s="21">
        <f>-800+(3.6-3.3)*10000</f>
        <v>2200.0000000000027</v>
      </c>
      <c r="E507" s="21">
        <f>1000-(3.7-3.3)*10000</f>
        <v>-3000.0000000000036</v>
      </c>
    </row>
    <row r="508" spans="1:5" x14ac:dyDescent="0.2">
      <c r="A508" s="156">
        <f t="shared" si="17"/>
        <v>3.4000000000000004</v>
      </c>
      <c r="B508" s="21">
        <v>-500</v>
      </c>
      <c r="C508" s="21">
        <f>400</f>
        <v>400</v>
      </c>
      <c r="D508" s="21">
        <f>-800+(3.6-3.4)*10000</f>
        <v>1200.0000000000018</v>
      </c>
      <c r="E508" s="21">
        <f>1000-(3.7-3.4)*10000</f>
        <v>-2000.0000000000027</v>
      </c>
    </row>
    <row r="509" spans="1:5" x14ac:dyDescent="0.2">
      <c r="A509" s="156">
        <f t="shared" si="17"/>
        <v>3.5000000000000004</v>
      </c>
      <c r="B509" s="21">
        <f>(3.5-3.4)*10000-500</f>
        <v>500.00000000000091</v>
      </c>
      <c r="C509" s="21">
        <f>400</f>
        <v>400</v>
      </c>
      <c r="D509" s="21">
        <f>-800+(3.6-3.5)*10000</f>
        <v>200.00000000000091</v>
      </c>
      <c r="E509" s="21">
        <f>1000-(3.7-3.5)*10000</f>
        <v>-1000.0000000000018</v>
      </c>
    </row>
    <row r="510" spans="1:5" x14ac:dyDescent="0.2">
      <c r="A510" s="156">
        <f t="shared" si="17"/>
        <v>3.6000000000000005</v>
      </c>
      <c r="B510" s="21">
        <f>(3.6-3.4)*10000-500</f>
        <v>1500.0000000000018</v>
      </c>
      <c r="C510" s="21">
        <f>400-(3.6-3.5)*10000</f>
        <v>-600.00000000000091</v>
      </c>
      <c r="D510" s="21">
        <v>-800</v>
      </c>
      <c r="E510" s="155">
        <f>1000-(3.7-3.6)*10000</f>
        <v>-9.0949470177292824E-13</v>
      </c>
    </row>
    <row r="511" spans="1:5" x14ac:dyDescent="0.2">
      <c r="A511" s="156">
        <f t="shared" si="17"/>
        <v>3.7000000000000006</v>
      </c>
      <c r="B511" s="21">
        <f>(3.7-3.4)*10000-500</f>
        <v>2500.0000000000027</v>
      </c>
      <c r="C511" s="21">
        <f>400-(3.7-3.5)*10000</f>
        <v>-1600.0000000000018</v>
      </c>
      <c r="D511" s="21">
        <v>-800</v>
      </c>
      <c r="E511" s="21">
        <f>1000</f>
        <v>1000</v>
      </c>
    </row>
    <row r="512" spans="1:5" x14ac:dyDescent="0.2">
      <c r="A512" s="156">
        <f t="shared" si="17"/>
        <v>3.8000000000000007</v>
      </c>
      <c r="B512" s="21">
        <f>(3.8-3.4)*10000-500</f>
        <v>3499.9999999999991</v>
      </c>
      <c r="C512" s="21">
        <f>400-(3.8-3.5)*10000</f>
        <v>-2599.9999999999982</v>
      </c>
      <c r="D512" s="21">
        <v>-800</v>
      </c>
      <c r="E512" s="21">
        <f>1000</f>
        <v>1000</v>
      </c>
    </row>
    <row r="513" spans="1:8" x14ac:dyDescent="0.2">
      <c r="A513" s="156">
        <f t="shared" si="17"/>
        <v>3.9000000000000008</v>
      </c>
      <c r="B513" s="21">
        <f>(3.9-3.4)*10000-500</f>
        <v>4500</v>
      </c>
      <c r="C513" s="21">
        <f>400-(3.9-3.5)*10000</f>
        <v>-3599.9999999999991</v>
      </c>
      <c r="D513" s="21">
        <v>-800</v>
      </c>
      <c r="E513" s="21">
        <f>1000</f>
        <v>1000</v>
      </c>
    </row>
    <row r="514" spans="1:8" x14ac:dyDescent="0.2">
      <c r="A514" s="156">
        <f t="shared" si="17"/>
        <v>4.0000000000000009</v>
      </c>
      <c r="B514" s="21">
        <f>(4-3.4)*10000-500</f>
        <v>5500.0000000000009</v>
      </c>
      <c r="C514" s="21">
        <f>400-(4-3.5)*10000</f>
        <v>-4600</v>
      </c>
      <c r="D514" s="21">
        <v>-800</v>
      </c>
      <c r="E514" s="21">
        <f>1000</f>
        <v>1000</v>
      </c>
    </row>
    <row r="515" spans="1:8" ht="17" thickBot="1" x14ac:dyDescent="0.25"/>
    <row r="516" spans="1:8" ht="17" thickBot="1" x14ac:dyDescent="0.25">
      <c r="A516" s="15" t="s">
        <v>1078</v>
      </c>
      <c r="B516" s="16"/>
      <c r="C516" s="16"/>
      <c r="D516" s="16"/>
      <c r="E516" s="16"/>
      <c r="F516" s="16"/>
      <c r="G516" s="16"/>
      <c r="H516" s="17"/>
    </row>
    <row r="517" spans="1:8" x14ac:dyDescent="0.2">
      <c r="A517" s="1" t="s">
        <v>1079</v>
      </c>
    </row>
    <row r="518" spans="1:8" x14ac:dyDescent="0.2">
      <c r="A518" s="1" t="s">
        <v>1080</v>
      </c>
    </row>
    <row r="519" spans="1:8" x14ac:dyDescent="0.2">
      <c r="A519" s="1" t="s">
        <v>1081</v>
      </c>
    </row>
    <row r="520" spans="1:8" x14ac:dyDescent="0.2">
      <c r="A520" s="1" t="s">
        <v>1082</v>
      </c>
    </row>
    <row r="521" spans="1:8" x14ac:dyDescent="0.2">
      <c r="A521" s="1" t="s">
        <v>1083</v>
      </c>
    </row>
    <row r="523" spans="1:8" x14ac:dyDescent="0.2">
      <c r="A523" s="62" t="s">
        <v>78</v>
      </c>
    </row>
    <row r="524" spans="1:8" x14ac:dyDescent="0.2">
      <c r="A524" s="62" t="s">
        <v>1084</v>
      </c>
    </row>
    <row r="525" spans="1:8" x14ac:dyDescent="0.2">
      <c r="A525" s="62" t="s">
        <v>1085</v>
      </c>
    </row>
    <row r="526" spans="1:8" x14ac:dyDescent="0.2">
      <c r="A526" s="62" t="s">
        <v>1086</v>
      </c>
    </row>
    <row r="527" spans="1:8" x14ac:dyDescent="0.2">
      <c r="A527" s="62" t="s">
        <v>1087</v>
      </c>
    </row>
    <row r="528" spans="1:8" x14ac:dyDescent="0.2">
      <c r="A528" s="62" t="s">
        <v>1088</v>
      </c>
    </row>
    <row r="529" spans="1:8" x14ac:dyDescent="0.2">
      <c r="A529" s="62" t="s">
        <v>1089</v>
      </c>
    </row>
    <row r="530" spans="1:8" x14ac:dyDescent="0.2">
      <c r="A530" s="62" t="s">
        <v>1090</v>
      </c>
    </row>
    <row r="531" spans="1:8" x14ac:dyDescent="0.2">
      <c r="A531" s="62" t="s">
        <v>1091</v>
      </c>
    </row>
    <row r="532" spans="1:8" ht="17" thickBot="1" x14ac:dyDescent="0.25"/>
    <row r="533" spans="1:8" ht="17" thickBot="1" x14ac:dyDescent="0.25">
      <c r="A533" s="15" t="s">
        <v>1092</v>
      </c>
      <c r="B533" s="16"/>
      <c r="C533" s="16"/>
      <c r="D533" s="16"/>
      <c r="E533" s="16"/>
      <c r="F533" s="16"/>
      <c r="G533" s="16"/>
      <c r="H533" s="17"/>
    </row>
    <row r="534" spans="1:8" x14ac:dyDescent="0.2">
      <c r="A534" s="1"/>
    </row>
    <row r="535" spans="1:8" x14ac:dyDescent="0.2">
      <c r="A535" s="1" t="s">
        <v>1093</v>
      </c>
    </row>
    <row r="536" spans="1:8" x14ac:dyDescent="0.2">
      <c r="A536" s="1" t="s">
        <v>1094</v>
      </c>
    </row>
    <row r="537" spans="1:8" x14ac:dyDescent="0.2">
      <c r="A537" s="1" t="s">
        <v>1059</v>
      </c>
    </row>
    <row r="538" spans="1:8" x14ac:dyDescent="0.2">
      <c r="A538" s="1"/>
    </row>
    <row r="539" spans="1:8" x14ac:dyDescent="0.2">
      <c r="A539" s="1" t="s">
        <v>78</v>
      </c>
    </row>
    <row r="540" spans="1:8" x14ac:dyDescent="0.2">
      <c r="A540" s="1"/>
    </row>
    <row r="541" spans="1:8" x14ac:dyDescent="0.2">
      <c r="A541" s="81" t="s">
        <v>264</v>
      </c>
      <c r="B541" s="81" t="s">
        <v>239</v>
      </c>
      <c r="C541" s="81" t="s">
        <v>77</v>
      </c>
      <c r="D541" s="25"/>
      <c r="E541" s="25"/>
      <c r="F541" s="25"/>
      <c r="G541" s="25"/>
      <c r="H541" s="25"/>
    </row>
    <row r="542" spans="1:8" x14ac:dyDescent="0.2">
      <c r="A542" s="32">
        <v>150</v>
      </c>
      <c r="B542" s="21">
        <v>0</v>
      </c>
      <c r="C542" s="32">
        <f>15</f>
        <v>15</v>
      </c>
      <c r="D542" s="25"/>
      <c r="E542" s="25"/>
      <c r="F542" s="150"/>
      <c r="G542" s="150"/>
      <c r="H542" s="150"/>
    </row>
    <row r="543" spans="1:8" x14ac:dyDescent="0.2">
      <c r="A543" s="32">
        <f t="shared" ref="A543:A552" si="18">A542+10</f>
        <v>160</v>
      </c>
      <c r="B543" s="21">
        <v>0</v>
      </c>
      <c r="C543" s="32">
        <f>15</f>
        <v>15</v>
      </c>
      <c r="D543" s="25"/>
      <c r="E543" s="25"/>
      <c r="F543" s="150"/>
      <c r="G543" s="150"/>
      <c r="H543" s="150"/>
    </row>
    <row r="544" spans="1:8" x14ac:dyDescent="0.2">
      <c r="A544" s="32">
        <f t="shared" si="18"/>
        <v>170</v>
      </c>
      <c r="B544" s="21">
        <v>0</v>
      </c>
      <c r="C544" s="32">
        <f>15</f>
        <v>15</v>
      </c>
      <c r="D544" s="25"/>
      <c r="E544" s="25"/>
      <c r="F544" s="25"/>
      <c r="G544" s="25"/>
      <c r="H544" s="25"/>
    </row>
    <row r="545" spans="1:8" x14ac:dyDescent="0.2">
      <c r="A545" s="32">
        <f t="shared" si="18"/>
        <v>180</v>
      </c>
      <c r="B545" s="21">
        <v>0</v>
      </c>
      <c r="C545" s="32">
        <f>15</f>
        <v>15</v>
      </c>
      <c r="D545" s="25"/>
      <c r="E545" s="25"/>
      <c r="F545" s="25"/>
      <c r="G545" s="25"/>
      <c r="H545" s="25"/>
    </row>
    <row r="546" spans="1:8" x14ac:dyDescent="0.2">
      <c r="A546" s="32">
        <f t="shared" si="18"/>
        <v>190</v>
      </c>
      <c r="B546" s="21">
        <v>0</v>
      </c>
      <c r="C546" s="32">
        <f>15</f>
        <v>15</v>
      </c>
      <c r="D546" s="25"/>
      <c r="E546" s="25"/>
      <c r="F546" s="25"/>
      <c r="G546" s="25"/>
      <c r="H546" s="25"/>
    </row>
    <row r="547" spans="1:8" x14ac:dyDescent="0.2">
      <c r="A547" s="32">
        <f t="shared" si="18"/>
        <v>200</v>
      </c>
      <c r="B547" s="21">
        <v>0</v>
      </c>
      <c r="C547" s="32">
        <f>15</f>
        <v>15</v>
      </c>
      <c r="D547" s="25"/>
      <c r="E547" s="25"/>
      <c r="F547" s="25"/>
      <c r="G547" s="25"/>
      <c r="H547" s="25"/>
    </row>
    <row r="548" spans="1:8" x14ac:dyDescent="0.2">
      <c r="A548" s="32">
        <f t="shared" si="18"/>
        <v>210</v>
      </c>
      <c r="B548" s="21">
        <f>-(210-200)</f>
        <v>-10</v>
      </c>
      <c r="C548" s="32">
        <f>15-(210-200)</f>
        <v>5</v>
      </c>
      <c r="D548" s="25"/>
      <c r="E548" s="25"/>
      <c r="F548" s="25"/>
      <c r="G548" s="25"/>
      <c r="H548" s="25"/>
    </row>
    <row r="549" spans="1:8" x14ac:dyDescent="0.2">
      <c r="A549" s="32">
        <f t="shared" si="18"/>
        <v>220</v>
      </c>
      <c r="B549" s="21">
        <f>-(220-200)</f>
        <v>-20</v>
      </c>
      <c r="C549" s="32">
        <f>15-(220-200)</f>
        <v>-5</v>
      </c>
    </row>
    <row r="550" spans="1:8" x14ac:dyDescent="0.2">
      <c r="A550" s="32">
        <f t="shared" si="18"/>
        <v>230</v>
      </c>
      <c r="B550" s="21">
        <f>-(230-200)</f>
        <v>-30</v>
      </c>
      <c r="C550" s="32">
        <f>15-(230-200)</f>
        <v>-15</v>
      </c>
    </row>
    <row r="551" spans="1:8" x14ac:dyDescent="0.2">
      <c r="A551" s="32">
        <f t="shared" si="18"/>
        <v>240</v>
      </c>
      <c r="B551" s="21">
        <f>-(240-200)</f>
        <v>-40</v>
      </c>
      <c r="C551" s="32">
        <f>15-(240-200)</f>
        <v>-25</v>
      </c>
    </row>
    <row r="552" spans="1:8" x14ac:dyDescent="0.2">
      <c r="A552" s="32">
        <f t="shared" si="18"/>
        <v>250</v>
      </c>
      <c r="B552" s="21">
        <f>-(250-200)</f>
        <v>-50</v>
      </c>
      <c r="C552" s="32">
        <f>15-(250-200)</f>
        <v>-35</v>
      </c>
    </row>
    <row r="553" spans="1:8" x14ac:dyDescent="0.2">
      <c r="A553" s="32"/>
    </row>
    <row r="554" spans="1:8" x14ac:dyDescent="0.2">
      <c r="A554" s="62" t="s">
        <v>1095</v>
      </c>
    </row>
    <row r="555" spans="1:8" x14ac:dyDescent="0.2">
      <c r="E555" s="1" t="s">
        <v>1096</v>
      </c>
    </row>
    <row r="563" spans="1:8" x14ac:dyDescent="0.2">
      <c r="E563" s="104">
        <v>15</v>
      </c>
    </row>
    <row r="565" spans="1:8" x14ac:dyDescent="0.2">
      <c r="C565" s="21">
        <v>215</v>
      </c>
      <c r="D565" s="21">
        <v>200</v>
      </c>
    </row>
    <row r="566" spans="1:8" x14ac:dyDescent="0.2">
      <c r="B566" s="21" t="s">
        <v>71</v>
      </c>
    </row>
    <row r="569" spans="1:8" x14ac:dyDescent="0.2">
      <c r="B569" s="1" t="s">
        <v>77</v>
      </c>
    </row>
    <row r="572" spans="1:8" x14ac:dyDescent="0.2">
      <c r="B572" s="1" t="s">
        <v>239</v>
      </c>
    </row>
    <row r="573" spans="1:8" ht="17" thickBot="1" x14ac:dyDescent="0.25"/>
    <row r="574" spans="1:8" ht="17" thickBot="1" x14ac:dyDescent="0.25">
      <c r="A574" s="50" t="s">
        <v>1099</v>
      </c>
      <c r="B574" s="51"/>
      <c r="C574" s="51"/>
      <c r="D574" s="51"/>
      <c r="E574" s="51"/>
      <c r="F574" s="51"/>
      <c r="G574" s="51"/>
      <c r="H574" s="52"/>
    </row>
    <row r="576" spans="1:8" x14ac:dyDescent="0.2">
      <c r="A576" s="62" t="s">
        <v>1097</v>
      </c>
    </row>
    <row r="577" spans="1:3" x14ac:dyDescent="0.2">
      <c r="A577" s="62" t="s">
        <v>373</v>
      </c>
    </row>
    <row r="578" spans="1:3" x14ac:dyDescent="0.2">
      <c r="A578" s="62" t="s">
        <v>392</v>
      </c>
    </row>
    <row r="580" spans="1:3" x14ac:dyDescent="0.2">
      <c r="B580" s="21" t="s">
        <v>368</v>
      </c>
      <c r="C580" s="21" t="s">
        <v>374</v>
      </c>
    </row>
    <row r="581" spans="1:3" x14ac:dyDescent="0.2">
      <c r="B581" s="21" t="s">
        <v>988</v>
      </c>
      <c r="C581" s="21">
        <v>20</v>
      </c>
    </row>
    <row r="582" spans="1:3" x14ac:dyDescent="0.2">
      <c r="B582" s="21" t="s">
        <v>502</v>
      </c>
      <c r="C582" s="21">
        <v>10</v>
      </c>
    </row>
    <row r="583" spans="1:3" x14ac:dyDescent="0.2">
      <c r="B583" s="21" t="s">
        <v>987</v>
      </c>
      <c r="C583" s="21">
        <v>15</v>
      </c>
    </row>
    <row r="584" spans="1:3" x14ac:dyDescent="0.2">
      <c r="B584" s="21" t="s">
        <v>1098</v>
      </c>
      <c r="C584" s="21">
        <v>24</v>
      </c>
    </row>
    <row r="586" spans="1:3" x14ac:dyDescent="0.2">
      <c r="A586" s="62" t="s">
        <v>1102</v>
      </c>
    </row>
    <row r="587" spans="1:3" x14ac:dyDescent="0.2">
      <c r="A587" s="62" t="s">
        <v>1103</v>
      </c>
    </row>
    <row r="589" spans="1:3" x14ac:dyDescent="0.2">
      <c r="A589" s="62" t="s">
        <v>78</v>
      </c>
    </row>
    <row r="590" spans="1:3" x14ac:dyDescent="0.2">
      <c r="A590" s="62" t="s">
        <v>1100</v>
      </c>
    </row>
    <row r="591" spans="1:3" x14ac:dyDescent="0.2">
      <c r="A591" s="62" t="s">
        <v>1101</v>
      </c>
    </row>
    <row r="593" spans="1:4" x14ac:dyDescent="0.2">
      <c r="A593" s="62" t="s">
        <v>1104</v>
      </c>
    </row>
    <row r="595" spans="1:4" x14ac:dyDescent="0.2">
      <c r="A595" s="157" t="s">
        <v>71</v>
      </c>
      <c r="B595" s="75" t="s">
        <v>1106</v>
      </c>
      <c r="C595" s="75" t="s">
        <v>1107</v>
      </c>
      <c r="D595" s="75" t="s">
        <v>1105</v>
      </c>
    </row>
    <row r="596" spans="1:4" x14ac:dyDescent="0.2">
      <c r="A596" s="156">
        <v>30</v>
      </c>
      <c r="B596" s="21">
        <v>-20</v>
      </c>
      <c r="C596" s="21">
        <f>-15+100-30</f>
        <v>55</v>
      </c>
      <c r="D596" s="21">
        <f t="shared" ref="D596:D611" si="19">B596+C596</f>
        <v>35</v>
      </c>
    </row>
    <row r="597" spans="1:4" x14ac:dyDescent="0.2">
      <c r="A597" s="156">
        <f t="shared" ref="A597:A611" si="20">A596+10</f>
        <v>40</v>
      </c>
      <c r="B597" s="21">
        <v>-20</v>
      </c>
      <c r="C597" s="21">
        <f>-15+100-40</f>
        <v>45</v>
      </c>
      <c r="D597" s="21">
        <f t="shared" si="19"/>
        <v>25</v>
      </c>
    </row>
    <row r="598" spans="1:4" x14ac:dyDescent="0.2">
      <c r="A598" s="156">
        <f t="shared" si="20"/>
        <v>50</v>
      </c>
      <c r="B598" s="21">
        <v>-20</v>
      </c>
      <c r="C598" s="21">
        <f>-15+100-50</f>
        <v>35</v>
      </c>
      <c r="D598" s="21">
        <f t="shared" si="19"/>
        <v>15</v>
      </c>
    </row>
    <row r="599" spans="1:4" x14ac:dyDescent="0.2">
      <c r="A599" s="156">
        <f t="shared" si="20"/>
        <v>60</v>
      </c>
      <c r="B599" s="21">
        <v>-20</v>
      </c>
      <c r="C599" s="21">
        <f>-15+100-60</f>
        <v>25</v>
      </c>
      <c r="D599" s="21">
        <f t="shared" si="19"/>
        <v>5</v>
      </c>
    </row>
    <row r="600" spans="1:4" x14ac:dyDescent="0.2">
      <c r="A600" s="156">
        <f t="shared" si="20"/>
        <v>70</v>
      </c>
      <c r="B600" s="21">
        <v>-20</v>
      </c>
      <c r="C600" s="21">
        <f>-15+100-70</f>
        <v>15</v>
      </c>
      <c r="D600" s="21">
        <f t="shared" si="19"/>
        <v>-5</v>
      </c>
    </row>
    <row r="601" spans="1:4" x14ac:dyDescent="0.2">
      <c r="A601" s="156">
        <f t="shared" si="20"/>
        <v>80</v>
      </c>
      <c r="B601" s="21">
        <v>-20</v>
      </c>
      <c r="C601" s="21">
        <f>-15+100-80</f>
        <v>5</v>
      </c>
      <c r="D601" s="21">
        <f t="shared" si="19"/>
        <v>-15</v>
      </c>
    </row>
    <row r="602" spans="1:4" x14ac:dyDescent="0.2">
      <c r="A602" s="156">
        <f t="shared" si="20"/>
        <v>90</v>
      </c>
      <c r="B602" s="21">
        <v>-20</v>
      </c>
      <c r="C602" s="21">
        <f>-15+100-90</f>
        <v>-5</v>
      </c>
      <c r="D602" s="21">
        <f t="shared" si="19"/>
        <v>-25</v>
      </c>
    </row>
    <row r="603" spans="1:4" x14ac:dyDescent="0.2">
      <c r="A603" s="156">
        <f t="shared" si="20"/>
        <v>100</v>
      </c>
      <c r="B603" s="21">
        <v>-20</v>
      </c>
      <c r="C603" s="21">
        <v>-15</v>
      </c>
      <c r="D603" s="21">
        <f t="shared" si="19"/>
        <v>-35</v>
      </c>
    </row>
    <row r="604" spans="1:4" x14ac:dyDescent="0.2">
      <c r="A604" s="156">
        <f t="shared" si="20"/>
        <v>110</v>
      </c>
      <c r="B604" s="21">
        <f>-20+110-100</f>
        <v>-10</v>
      </c>
      <c r="C604" s="21">
        <v>-15</v>
      </c>
      <c r="D604" s="21">
        <f t="shared" si="19"/>
        <v>-25</v>
      </c>
    </row>
    <row r="605" spans="1:4" x14ac:dyDescent="0.2">
      <c r="A605" s="156">
        <f t="shared" si="20"/>
        <v>120</v>
      </c>
      <c r="B605" s="21">
        <f>-20+120-100</f>
        <v>0</v>
      </c>
      <c r="C605" s="21">
        <v>-15</v>
      </c>
      <c r="D605" s="21">
        <f t="shared" si="19"/>
        <v>-15</v>
      </c>
    </row>
    <row r="606" spans="1:4" x14ac:dyDescent="0.2">
      <c r="A606" s="156">
        <f t="shared" si="20"/>
        <v>130</v>
      </c>
      <c r="B606" s="21">
        <f>-20+130-100</f>
        <v>10</v>
      </c>
      <c r="C606" s="21">
        <v>-15</v>
      </c>
      <c r="D606" s="21">
        <f t="shared" si="19"/>
        <v>-5</v>
      </c>
    </row>
    <row r="607" spans="1:4" x14ac:dyDescent="0.2">
      <c r="A607" s="156">
        <f t="shared" si="20"/>
        <v>140</v>
      </c>
      <c r="B607" s="21">
        <f>-20+140-100</f>
        <v>20</v>
      </c>
      <c r="C607" s="21">
        <v>-15</v>
      </c>
      <c r="D607" s="21">
        <f t="shared" si="19"/>
        <v>5</v>
      </c>
    </row>
    <row r="608" spans="1:4" x14ac:dyDescent="0.2">
      <c r="A608" s="156">
        <f t="shared" si="20"/>
        <v>150</v>
      </c>
      <c r="B608" s="21">
        <f>-20+150-100</f>
        <v>30</v>
      </c>
      <c r="C608" s="21">
        <v>-15</v>
      </c>
      <c r="D608" s="21">
        <f t="shared" si="19"/>
        <v>15</v>
      </c>
    </row>
    <row r="609" spans="1:5" x14ac:dyDescent="0.2">
      <c r="A609" s="156">
        <f t="shared" si="20"/>
        <v>160</v>
      </c>
      <c r="B609" s="21">
        <f>-20+160-100</f>
        <v>40</v>
      </c>
      <c r="C609" s="21">
        <v>-15</v>
      </c>
      <c r="D609" s="21">
        <f t="shared" si="19"/>
        <v>25</v>
      </c>
    </row>
    <row r="610" spans="1:5" x14ac:dyDescent="0.2">
      <c r="A610" s="156">
        <f t="shared" si="20"/>
        <v>170</v>
      </c>
      <c r="B610" s="21">
        <f>-20+170-100</f>
        <v>50</v>
      </c>
      <c r="C610" s="21">
        <v>-15</v>
      </c>
      <c r="D610" s="21">
        <f t="shared" si="19"/>
        <v>35</v>
      </c>
    </row>
    <row r="611" spans="1:5" x14ac:dyDescent="0.2">
      <c r="A611" s="156">
        <f t="shared" si="20"/>
        <v>180</v>
      </c>
      <c r="B611" s="21">
        <f>-20+180-100</f>
        <v>60</v>
      </c>
      <c r="C611" s="21">
        <v>-15</v>
      </c>
      <c r="D611" s="21">
        <f t="shared" si="19"/>
        <v>45</v>
      </c>
    </row>
    <row r="613" spans="1:5" x14ac:dyDescent="0.2">
      <c r="A613" s="62" t="s">
        <v>1108</v>
      </c>
    </row>
    <row r="615" spans="1:5" x14ac:dyDescent="0.2">
      <c r="E615" s="158" t="s">
        <v>77</v>
      </c>
    </row>
    <row r="620" spans="1:5" x14ac:dyDescent="0.2">
      <c r="B620" s="48" t="s">
        <v>77</v>
      </c>
    </row>
    <row r="623" spans="1:5" x14ac:dyDescent="0.2">
      <c r="E623" s="21">
        <v>65</v>
      </c>
    </row>
    <row r="625" spans="2:4" x14ac:dyDescent="0.2">
      <c r="C625" s="48">
        <v>135</v>
      </c>
      <c r="D625" s="21">
        <v>65</v>
      </c>
    </row>
    <row r="626" spans="2:4" x14ac:dyDescent="0.2">
      <c r="B626" s="21" t="s">
        <v>71</v>
      </c>
      <c r="C626" s="104">
        <v>100</v>
      </c>
    </row>
  </sheetData>
  <mergeCells count="2">
    <mergeCell ref="A58:D58"/>
    <mergeCell ref="F56:I56"/>
  </mergeCells>
  <pageMargins left="0.7" right="0.7" top="0.75" bottom="0.75" header="0.3" footer="0.3"/>
  <pageSetup paperSize="9" scale="78" orientation="portrait" horizontalDpi="0" verticalDpi="0"/>
  <rowBreaks count="3" manualBreakCount="3">
    <brk id="248" max="16383" man="1"/>
    <brk id="359" max="8" man="1"/>
    <brk id="417" max="8" man="1"/>
  </rowBreaks>
  <colBreaks count="1" manualBreakCount="1">
    <brk id="9" max="1048575" man="1"/>
  </colBreaks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19</vt:i4>
      </vt:variant>
      <vt:variant>
        <vt:lpstr>Named Ranges</vt:lpstr>
      </vt:variant>
      <vt:variant>
        <vt:i4>8</vt:i4>
      </vt:variant>
    </vt:vector>
  </HeadingPairs>
  <TitlesOfParts>
    <vt:vector size="27" baseType="lpstr">
      <vt:lpstr>COVER</vt:lpstr>
      <vt:lpstr>Index</vt:lpstr>
      <vt:lpstr>Lecture 1</vt:lpstr>
      <vt:lpstr>Lecture 2</vt:lpstr>
      <vt:lpstr>Lecture 3 New</vt:lpstr>
      <vt:lpstr>Lecture 4</vt:lpstr>
      <vt:lpstr>Lecture 5 New</vt:lpstr>
      <vt:lpstr>Lecture 6 New</vt:lpstr>
      <vt:lpstr>Lecture 7 New</vt:lpstr>
      <vt:lpstr>Lecture 8 New</vt:lpstr>
      <vt:lpstr>Lecture 9 New</vt:lpstr>
      <vt:lpstr>Lecture 10 New</vt:lpstr>
      <vt:lpstr>Lecture 11 New</vt:lpstr>
      <vt:lpstr>Lecture 12 New</vt:lpstr>
      <vt:lpstr>Lecture 13 - Final Mikud 2025A</vt:lpstr>
      <vt:lpstr>שאלות חזרה נוספות</vt:lpstr>
      <vt:lpstr>שאלות חזרה נוספות 2</vt:lpstr>
      <vt:lpstr>שאלות חזרה נוספות 3</vt:lpstr>
      <vt:lpstr>סטרים</vt:lpstr>
      <vt:lpstr>'Lecture 1'!Print_Area</vt:lpstr>
      <vt:lpstr>'Lecture 2'!Print_Area</vt:lpstr>
      <vt:lpstr>'Lecture 4'!Print_Area</vt:lpstr>
      <vt:lpstr>'Lecture 7 New'!Print_Area</vt:lpstr>
      <vt:lpstr>'Lecture 8 New'!Print_Area</vt:lpstr>
      <vt:lpstr>'שאלות חזרה נוספות'!Print_Area</vt:lpstr>
      <vt:lpstr>'שאלות חזרה נוספות 2'!Print_Area</vt:lpstr>
      <vt:lpstr>'שאלות חזרה נוספות 3'!Print_Area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Shay Tsaban</cp:lastModifiedBy>
  <dcterms:created xsi:type="dcterms:W3CDTF">2022-10-14T14:44:31Z</dcterms:created>
  <dcterms:modified xsi:type="dcterms:W3CDTF">2025-02-26T18:16:39Z</dcterms:modified>
</cp:coreProperties>
</file>